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4D904D93-B769-484D-9818-7632D7E07AA9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Apartment Evaluator" sheetId="1" r:id="rId1"/>
  </sheets>
  <definedNames>
    <definedName name="_xlnm.Print_Area" localSheetId="0">'Apartment Evaluator'!$B$2:$K$102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K2" i="1"/>
  <c r="H8" i="1"/>
  <c r="K8" i="1"/>
  <c r="C9" i="1"/>
  <c r="C11" i="1" s="1"/>
  <c r="C13" i="1" s="1"/>
  <c r="F9" i="1"/>
  <c r="C10" i="1"/>
  <c r="F11" i="1"/>
  <c r="F21" i="1"/>
  <c r="K22" i="1"/>
  <c r="K23" i="1"/>
  <c r="K24" i="1"/>
  <c r="K25" i="1"/>
  <c r="K26" i="1"/>
  <c r="J27" i="1"/>
  <c r="K27" i="1" s="1"/>
  <c r="C22" i="1" s="1"/>
  <c r="H28" i="1"/>
  <c r="K29" i="1"/>
  <c r="K30" i="1"/>
  <c r="K31" i="1"/>
  <c r="K32" i="1"/>
  <c r="K33" i="1"/>
  <c r="H40" i="1"/>
  <c r="K40" i="1"/>
  <c r="F23" i="1" s="1"/>
  <c r="F41" i="1"/>
  <c r="C44" i="1"/>
  <c r="F45" i="1"/>
  <c r="D58" i="1"/>
  <c r="C61" i="1" s="1"/>
  <c r="E58" i="1"/>
  <c r="F58" i="1"/>
  <c r="G58" i="1"/>
  <c r="H58" i="1"/>
  <c r="C64" i="1"/>
  <c r="E64" i="1"/>
  <c r="F64" i="1"/>
  <c r="H64" i="1"/>
  <c r="I64" i="1"/>
  <c r="J64" i="1"/>
  <c r="K64" i="1"/>
  <c r="J68" i="1"/>
  <c r="K68" i="1" s="1"/>
  <c r="F69" i="1"/>
  <c r="H69" i="1" s="1"/>
  <c r="I69" i="1" s="1"/>
  <c r="J69" i="1" s="1"/>
  <c r="K69" i="1" s="1"/>
  <c r="Q94" i="1"/>
  <c r="S94" i="1" s="1"/>
  <c r="T94" i="1" s="1"/>
  <c r="U94" i="1" s="1"/>
  <c r="V94" i="1" s="1"/>
  <c r="W94" i="1" s="1"/>
  <c r="X94" i="1" s="1"/>
  <c r="E97" i="1"/>
  <c r="Q101" i="1"/>
  <c r="S101" i="1" s="1"/>
  <c r="T101" i="1" s="1"/>
  <c r="U101" i="1" s="1"/>
  <c r="V101" i="1" s="1"/>
  <c r="W101" i="1" s="1"/>
  <c r="X101" i="1" s="1"/>
  <c r="F44" i="1" l="1"/>
  <c r="F43" i="1"/>
  <c r="F38" i="1"/>
  <c r="F26" i="1"/>
  <c r="C75" i="1"/>
  <c r="E75" i="1" s="1"/>
  <c r="F75" i="1" s="1"/>
  <c r="H75" i="1" s="1"/>
  <c r="I75" i="1" s="1"/>
  <c r="J75" i="1" s="1"/>
  <c r="K75" i="1" s="1"/>
  <c r="F61" i="1"/>
  <c r="F36" i="1"/>
  <c r="H61" i="1"/>
  <c r="F30" i="1"/>
  <c r="K61" i="1"/>
  <c r="F46" i="1"/>
  <c r="F42" i="1"/>
  <c r="F40" i="1"/>
  <c r="F35" i="1"/>
  <c r="F31" i="1"/>
  <c r="C24" i="1"/>
  <c r="K95" i="1"/>
  <c r="F22" i="1"/>
  <c r="J61" i="1"/>
  <c r="E61" i="1"/>
  <c r="F39" i="1"/>
  <c r="F37" i="1"/>
  <c r="F32" i="1"/>
  <c r="C17" i="1"/>
  <c r="I61" i="1"/>
  <c r="F34" i="1"/>
  <c r="F29" i="1"/>
  <c r="E87" i="1"/>
  <c r="K88" i="1" s="1"/>
  <c r="E94" i="1" s="1"/>
  <c r="E91" i="1" l="1"/>
  <c r="P95" i="1"/>
  <c r="P98" i="1" s="1"/>
  <c r="I17" i="1"/>
  <c r="C58" i="1"/>
  <c r="F24" i="1"/>
  <c r="C25" i="1"/>
  <c r="F25" i="1" s="1"/>
  <c r="K17" i="1"/>
  <c r="K89" i="1"/>
  <c r="E89" i="1" s="1"/>
  <c r="E90" i="1" s="1"/>
  <c r="P102" i="1" l="1"/>
  <c r="P105" i="1" s="1"/>
  <c r="E93" i="1"/>
  <c r="E95" i="1" s="1"/>
  <c r="E96" i="1" s="1"/>
  <c r="E98" i="1" s="1"/>
  <c r="K92" i="1" s="1"/>
  <c r="C27" i="1"/>
  <c r="J17" i="1"/>
  <c r="I58" i="1"/>
  <c r="E32" i="1" l="1"/>
  <c r="E37" i="1"/>
  <c r="E39" i="1"/>
  <c r="E42" i="1"/>
  <c r="C33" i="1"/>
  <c r="E23" i="1"/>
  <c r="F27" i="1"/>
  <c r="E29" i="1"/>
  <c r="E34" i="1"/>
  <c r="E46" i="1"/>
  <c r="E43" i="1"/>
  <c r="E30" i="1"/>
  <c r="E40" i="1"/>
  <c r="E41" i="1"/>
  <c r="E31" i="1"/>
  <c r="E35" i="1"/>
  <c r="E38" i="1"/>
  <c r="E22" i="1"/>
  <c r="C71" i="1"/>
  <c r="E24" i="1"/>
  <c r="C79" i="1"/>
  <c r="C50" i="1"/>
  <c r="J58" i="1"/>
  <c r="F79" i="1"/>
  <c r="K79" i="1"/>
  <c r="H79" i="1"/>
  <c r="J79" i="1"/>
  <c r="I79" i="1"/>
  <c r="E79" i="1"/>
  <c r="E62" i="1"/>
  <c r="F62" i="1"/>
  <c r="K62" i="1"/>
  <c r="K90" i="1" s="1"/>
  <c r="K91" i="1" s="1"/>
  <c r="H62" i="1"/>
  <c r="I62" i="1"/>
  <c r="J62" i="1"/>
  <c r="C62" i="1"/>
  <c r="H66" i="1" l="1"/>
  <c r="K66" i="1"/>
  <c r="I66" i="1"/>
  <c r="E71" i="1"/>
  <c r="C66" i="1"/>
  <c r="E66" i="1"/>
  <c r="K93" i="1"/>
  <c r="X104" i="1" s="1"/>
  <c r="X97" i="1"/>
  <c r="E33" i="1"/>
  <c r="F33" i="1"/>
  <c r="C48" i="1"/>
  <c r="E50" i="1"/>
  <c r="F50" i="1"/>
  <c r="J66" i="1"/>
  <c r="F66" i="1"/>
  <c r="I63" i="1"/>
  <c r="I74" i="1" s="1"/>
  <c r="C63" i="1"/>
  <c r="C74" i="1" s="1"/>
  <c r="H63" i="1"/>
  <c r="H74" i="1" s="1"/>
  <c r="J63" i="1"/>
  <c r="J74" i="1" s="1"/>
  <c r="K63" i="1"/>
  <c r="K74" i="1" s="1"/>
  <c r="E63" i="1"/>
  <c r="E74" i="1" s="1"/>
  <c r="F63" i="1"/>
  <c r="F74" i="1" s="1"/>
  <c r="E48" i="1" l="1"/>
  <c r="F48" i="1"/>
  <c r="C72" i="1"/>
  <c r="C49" i="1"/>
  <c r="F71" i="1"/>
  <c r="K5" i="1" l="1"/>
  <c r="E49" i="1"/>
  <c r="F49" i="1"/>
  <c r="C51" i="1"/>
  <c r="F13" i="1"/>
  <c r="H71" i="1"/>
  <c r="E72" i="1"/>
  <c r="C73" i="1"/>
  <c r="F72" i="1" l="1"/>
  <c r="E73" i="1"/>
  <c r="F51" i="1"/>
  <c r="E51" i="1"/>
  <c r="C78" i="1"/>
  <c r="C81" i="1" s="1"/>
  <c r="C76" i="1"/>
  <c r="C83" i="1" s="1"/>
  <c r="C84" i="1" s="1"/>
  <c r="K9" i="1"/>
  <c r="K96" i="1"/>
  <c r="I71" i="1"/>
  <c r="J71" i="1" l="1"/>
  <c r="Q96" i="1"/>
  <c r="Q98" i="1" s="1"/>
  <c r="C82" i="1"/>
  <c r="H72" i="1"/>
  <c r="F73" i="1"/>
  <c r="C85" i="1"/>
  <c r="K97" i="1" s="1"/>
  <c r="Q103" i="1"/>
  <c r="Q105" i="1" s="1"/>
  <c r="E78" i="1"/>
  <c r="E81" i="1" s="1"/>
  <c r="E76" i="1"/>
  <c r="E83" i="1" s="1"/>
  <c r="E84" i="1" l="1"/>
  <c r="K10" i="1"/>
  <c r="S96" i="1"/>
  <c r="S98" i="1" s="1"/>
  <c r="E82" i="1"/>
  <c r="I72" i="1"/>
  <c r="H73" i="1"/>
  <c r="S103" i="1"/>
  <c r="S105" i="1" s="1"/>
  <c r="E85" i="1"/>
  <c r="F78" i="1"/>
  <c r="F81" i="1" s="1"/>
  <c r="F76" i="1"/>
  <c r="F83" i="1" s="1"/>
  <c r="K71" i="1"/>
  <c r="F84" i="1" l="1"/>
  <c r="T96" i="1"/>
  <c r="T98" i="1" s="1"/>
  <c r="F82" i="1"/>
  <c r="J72" i="1"/>
  <c r="I73" i="1"/>
  <c r="H78" i="1"/>
  <c r="H81" i="1" s="1"/>
  <c r="H76" i="1"/>
  <c r="H83" i="1" s="1"/>
  <c r="K72" i="1" l="1"/>
  <c r="K73" i="1" s="1"/>
  <c r="J73" i="1"/>
  <c r="I76" i="1"/>
  <c r="I83" i="1" s="1"/>
  <c r="I78" i="1"/>
  <c r="I81" i="1" s="1"/>
  <c r="T103" i="1"/>
  <c r="T105" i="1" s="1"/>
  <c r="F85" i="1"/>
  <c r="H82" i="1"/>
  <c r="H84" i="1"/>
  <c r="U96" i="1"/>
  <c r="U98" i="1" s="1"/>
  <c r="U103" i="1" l="1"/>
  <c r="U105" i="1" s="1"/>
  <c r="H85" i="1"/>
  <c r="V96" i="1"/>
  <c r="V98" i="1" s="1"/>
  <c r="I84" i="1"/>
  <c r="I82" i="1"/>
  <c r="K76" i="1"/>
  <c r="K83" i="1" s="1"/>
  <c r="K78" i="1"/>
  <c r="K81" i="1" s="1"/>
  <c r="J76" i="1"/>
  <c r="J83" i="1" s="1"/>
  <c r="J78" i="1"/>
  <c r="J81" i="1" s="1"/>
  <c r="W96" i="1" l="1"/>
  <c r="W98" i="1" s="1"/>
  <c r="N99" i="1" s="1"/>
  <c r="K12" i="1" s="1"/>
  <c r="J84" i="1"/>
  <c r="J82" i="1"/>
  <c r="K82" i="1"/>
  <c r="X96" i="1"/>
  <c r="X98" i="1" s="1"/>
  <c r="K84" i="1"/>
  <c r="V103" i="1"/>
  <c r="V105" i="1" s="1"/>
  <c r="I85" i="1"/>
  <c r="K11" i="1" l="1"/>
  <c r="K85" i="1"/>
  <c r="X103" i="1"/>
  <c r="X105" i="1" s="1"/>
  <c r="J85" i="1"/>
  <c r="W103" i="1"/>
  <c r="W105" i="1" s="1"/>
  <c r="N106" i="1" l="1"/>
  <c r="K98" i="1" s="1"/>
</calcChain>
</file>

<file path=xl/sharedStrings.xml><?xml version="1.0" encoding="utf-8"?>
<sst xmlns="http://schemas.openxmlformats.org/spreadsheetml/2006/main" count="194" uniqueCount="156">
  <si>
    <t>Cap Rate</t>
  </si>
  <si>
    <t>Property Address:</t>
  </si>
  <si>
    <t>INVESTMENT PROFORMA</t>
  </si>
  <si>
    <t>INVESTMENT RETURNS</t>
  </si>
  <si>
    <t>Land</t>
  </si>
  <si>
    <t>Capitalization Rate</t>
  </si>
  <si>
    <t>Improvements</t>
  </si>
  <si>
    <t>Cash On Cash Return Year 1</t>
  </si>
  <si>
    <t>Capital and Closing Cost:</t>
  </si>
  <si>
    <t>Average Cash on Cash Return</t>
  </si>
  <si>
    <t>LTV</t>
  </si>
  <si>
    <t>Seven (7) Year Pre-Tax IRR</t>
  </si>
  <si>
    <t>Investment Amount:</t>
  </si>
  <si>
    <t>Encumbrances</t>
  </si>
  <si>
    <t>Loan</t>
  </si>
  <si>
    <t>Term</t>
  </si>
  <si>
    <t>Payments</t>
  </si>
  <si>
    <t>Interest</t>
  </si>
  <si>
    <t>Prin &amp; Int</t>
  </si>
  <si>
    <t>Annual Debt</t>
  </si>
  <si>
    <t>Loan Closing</t>
  </si>
  <si>
    <t>Amount</t>
  </si>
  <si>
    <t>In Years</t>
  </si>
  <si>
    <t>Per Year</t>
  </si>
  <si>
    <t>Rate</t>
  </si>
  <si>
    <t>Payment</t>
  </si>
  <si>
    <t>Service</t>
  </si>
  <si>
    <t>Escrow Costs</t>
  </si>
  <si>
    <t xml:space="preserve"> </t>
  </si>
  <si>
    <t>ANNUAL OPERATING INCOME</t>
  </si>
  <si>
    <t>SCHEDULED RENT ROLL</t>
  </si>
  <si>
    <t>$</t>
  </si>
  <si>
    <t>% of EGI</t>
  </si>
  <si>
    <t># of Units</t>
  </si>
  <si>
    <t>Type</t>
  </si>
  <si>
    <t>Total</t>
  </si>
  <si>
    <t>Gross Scheduled Income</t>
  </si>
  <si>
    <t>Gross Operating Income</t>
  </si>
  <si>
    <t>Vacancy Factor</t>
  </si>
  <si>
    <t>Rent Concessions</t>
  </si>
  <si>
    <t>Effective Gross Income</t>
  </si>
  <si>
    <t>Insurance</t>
  </si>
  <si>
    <t xml:space="preserve">INVESTMENT ASSUMPTIONS </t>
  </si>
  <si>
    <t>Income Growth</t>
  </si>
  <si>
    <t>Expense Growth</t>
  </si>
  <si>
    <t>Land Value % of Purchase Price</t>
  </si>
  <si>
    <t>Years of Investment</t>
  </si>
  <si>
    <t>Investor's Tax Bracket:</t>
  </si>
  <si>
    <t>Federal Capital Gains Tax</t>
  </si>
  <si>
    <t>State Capital Gains Tax</t>
  </si>
  <si>
    <t>Management</t>
  </si>
  <si>
    <t>Depreciation Recapture Rate</t>
  </si>
  <si>
    <t xml:space="preserve">Straight-Line Deprecation </t>
  </si>
  <si>
    <t>Notes:</t>
  </si>
  <si>
    <t>Total Operating Expense</t>
  </si>
  <si>
    <t>Net Operating Income</t>
  </si>
  <si>
    <t>Annual Debt Service</t>
  </si>
  <si>
    <t>Cash Flow Before Taxes</t>
  </si>
  <si>
    <t>Beginning</t>
  </si>
  <si>
    <t>Remaining</t>
  </si>
  <si>
    <t>Balance</t>
  </si>
  <si>
    <t>1st Mortgage</t>
  </si>
  <si>
    <t>1st Mortgage EOY</t>
  </si>
  <si>
    <t>2nd &amp; 3rd Mortgage</t>
  </si>
  <si>
    <t>Principal Reduction</t>
  </si>
  <si>
    <t>Taxable Income</t>
  </si>
  <si>
    <t>Year 1</t>
  </si>
  <si>
    <t>Year 2</t>
  </si>
  <si>
    <t>Year 3</t>
  </si>
  <si>
    <t>Year 4</t>
  </si>
  <si>
    <t>Year 5</t>
  </si>
  <si>
    <t>Year 6</t>
  </si>
  <si>
    <t>Year 7</t>
  </si>
  <si>
    <t>-Operating Expense</t>
  </si>
  <si>
    <t>-Interest</t>
  </si>
  <si>
    <t>-Depreciation</t>
  </si>
  <si>
    <t>Cash Flows</t>
  </si>
  <si>
    <t>-Annual Debt Service</t>
  </si>
  <si>
    <t>-Funded Reserves</t>
  </si>
  <si>
    <t>Cash Flow before Taxes</t>
  </si>
  <si>
    <t>Net Return Before Taxes</t>
  </si>
  <si>
    <t>Tax Liability</t>
  </si>
  <si>
    <t>Cash Flow After Taxes</t>
  </si>
  <si>
    <t>Net Return After Taxes</t>
  </si>
  <si>
    <t>Analysis of Sale Proceeds</t>
  </si>
  <si>
    <t>Original Basis</t>
  </si>
  <si>
    <t>Sale Proceeds</t>
  </si>
  <si>
    <t>+Capital Improvements</t>
  </si>
  <si>
    <t>Sale Price</t>
  </si>
  <si>
    <t>+Costs of Sale</t>
  </si>
  <si>
    <t>-Costs Of Sale</t>
  </si>
  <si>
    <t>Sub-Total</t>
  </si>
  <si>
    <t>-Mortgage</t>
  </si>
  <si>
    <t>Gross Proceeds</t>
  </si>
  <si>
    <t>-Partial Sales</t>
  </si>
  <si>
    <t>-Tax On Proceeds</t>
  </si>
  <si>
    <t>AB at Sale</t>
  </si>
  <si>
    <t>Net Proceeds</t>
  </si>
  <si>
    <t>Equity Cash Flows Pre Tax</t>
  </si>
  <si>
    <t>Factors</t>
  </si>
  <si>
    <t xml:space="preserve">Year </t>
  </si>
  <si>
    <t>-AB</t>
  </si>
  <si>
    <t>Gross Rent Multiplier (GRM)</t>
  </si>
  <si>
    <t>Purchase</t>
  </si>
  <si>
    <t>Gain</t>
  </si>
  <si>
    <t>Operating Income</t>
  </si>
  <si>
    <t>Capital Gains Tax</t>
  </si>
  <si>
    <t>Cash on Cash Return after Tax</t>
  </si>
  <si>
    <t>Sales Proceeds</t>
  </si>
  <si>
    <t>Tax Liability &amp; Recapture</t>
  </si>
  <si>
    <t>IRR After Tax</t>
  </si>
  <si>
    <t>Equity Cash Flows Post Tax</t>
  </si>
  <si>
    <t>The information contained herein has been obtained from sources deemed to be reliable but not guaranteed by Broker.  Any Projections, assumptions, opinions or</t>
  </si>
  <si>
    <t>estimates are used for example only and do not represent current or future performance of the property.  Any prospective buyer is advised to seek advice from</t>
  </si>
  <si>
    <t>competent tax, financial and/or legal advisors.  State and local taxes are not figured in the worksheet.</t>
  </si>
  <si>
    <t>Int</t>
  </si>
  <si>
    <t>Only</t>
  </si>
  <si>
    <t>n</t>
  </si>
  <si>
    <t>Due</t>
  </si>
  <si>
    <t>In</t>
  </si>
  <si>
    <t>Units</t>
  </si>
  <si>
    <t>Apartments</t>
  </si>
  <si>
    <t>Monthly Rent/ bed</t>
  </si>
  <si>
    <t>Appreciation</t>
  </si>
  <si>
    <t xml:space="preserve">Loans: </t>
  </si>
  <si>
    <t>Real Estate Taxes</t>
  </si>
  <si>
    <t>On-site Manager</t>
  </si>
  <si>
    <t>Maintenance/Repairs</t>
  </si>
  <si>
    <t>Landscape Maint.</t>
  </si>
  <si>
    <t>Turning Expenses</t>
  </si>
  <si>
    <t>Garbage</t>
  </si>
  <si>
    <t>Supplies</t>
  </si>
  <si>
    <t>Telephone</t>
  </si>
  <si>
    <t>Sewer/Water</t>
  </si>
  <si>
    <t>Reserves</t>
  </si>
  <si>
    <t>Year</t>
  </si>
  <si>
    <t>Interest only (Y/N)</t>
  </si>
  <si>
    <t>Existing/New 1st Mortgage</t>
  </si>
  <si>
    <t>Advertising &amp; Admin</t>
  </si>
  <si>
    <t>Electricity &amp; Gas</t>
  </si>
  <si>
    <t>Other Income(utilitiy)</t>
  </si>
  <si>
    <t>1 br</t>
  </si>
  <si>
    <t>2br/1bath</t>
  </si>
  <si>
    <t>2br/2bath</t>
  </si>
  <si>
    <t>studio</t>
  </si>
  <si>
    <t>office</t>
  </si>
  <si>
    <t>Price or Value:</t>
  </si>
  <si>
    <t>Down Payment or Equity:</t>
  </si>
  <si>
    <t>APARTMENT PURCHASE OR FINANCE EVALUATOR</t>
  </si>
  <si>
    <t>PropertyTaxes</t>
  </si>
  <si>
    <t>DSCR</t>
  </si>
  <si>
    <t xml:space="preserve">Loan: </t>
  </si>
  <si>
    <t>ANALYSIS</t>
  </si>
  <si>
    <t>1235 Colonial Blvd, Seattle WA 12345</t>
  </si>
  <si>
    <t>Note:     Enter property information in the YELLOW fields</t>
  </si>
  <si>
    <t>Renovations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</si>
</sst>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%"/>
    <numFmt numFmtId="166" formatCode="0.0%"/>
    <numFmt numFmtId="167" formatCode="#,##0.0"/>
    <numFmt numFmtId="168" formatCode="_(* #,##0.00000_);_(* \(#,##0.00000\);_(* &quot;-&quot;??_);_(@_)"/>
    <numFmt numFmtId="169" formatCode="_(* #,##0_);_(* \(#,##0\);_(* &quot;-&quot;??_);_(@_)"/>
  </numFmts>
  <fonts count="27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62"/>
      <name val="Arial"/>
      <family val="2"/>
    </font>
    <font>
      <sz val="10"/>
      <color indexed="18"/>
      <name val="Arial"/>
      <family val="2"/>
    </font>
    <font>
      <u/>
      <sz val="10"/>
      <name val="Arial"/>
      <family val="2"/>
    </font>
    <font>
      <b/>
      <sz val="10"/>
      <color indexed="62"/>
      <name val="Arial"/>
      <family val="2"/>
    </font>
    <font>
      <b/>
      <u/>
      <sz val="10"/>
      <color indexed="6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 style="double">
        <color indexed="8"/>
      </right>
      <top style="thick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/>
      <right style="double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/>
      <top style="medium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8">
    <xf numFmtId="0" fontId="0" fillId="0" borderId="0" xfId="0"/>
    <xf numFmtId="0" fontId="4" fillId="0" borderId="0" xfId="0" applyFont="1" applyAlignment="1"/>
    <xf numFmtId="0" fontId="3" fillId="2" borderId="0" xfId="0" applyNumberFormat="1" applyFont="1" applyFill="1"/>
    <xf numFmtId="0" fontId="3" fillId="0" borderId="0" xfId="0" applyNumberFormat="1" applyFont="1" applyAlignment="1"/>
    <xf numFmtId="0" fontId="3" fillId="0" borderId="0" xfId="0" applyFont="1" applyBorder="1" applyAlignment="1"/>
    <xf numFmtId="0" fontId="3" fillId="0" borderId="1" xfId="0" applyFont="1" applyBorder="1" applyAlignment="1"/>
    <xf numFmtId="0" fontId="3" fillId="2" borderId="0" xfId="0" applyNumberFormat="1" applyFont="1" applyFill="1" applyBorder="1"/>
    <xf numFmtId="0" fontId="3" fillId="3" borderId="3" xfId="0" applyNumberFormat="1" applyFont="1" applyFill="1" applyBorder="1" applyAlignment="1"/>
    <xf numFmtId="0" fontId="3" fillId="3" borderId="4" xfId="0" applyNumberFormat="1" applyFont="1" applyFill="1" applyBorder="1" applyAlignment="1"/>
    <xf numFmtId="0" fontId="4" fillId="3" borderId="5" xfId="0" applyFont="1" applyFill="1" applyBorder="1" applyAlignment="1">
      <alignment horizontal="left"/>
    </xf>
    <xf numFmtId="0" fontId="3" fillId="0" borderId="6" xfId="0" applyFont="1" applyBorder="1" applyAlignment="1"/>
    <xf numFmtId="0" fontId="3" fillId="0" borderId="0" xfId="0" applyNumberFormat="1" applyFont="1" applyBorder="1" applyAlignment="1"/>
    <xf numFmtId="0" fontId="3" fillId="2" borderId="0" xfId="0" applyNumberFormat="1" applyFont="1" applyFill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2" borderId="0" xfId="0" applyNumberFormat="1" applyFont="1" applyFill="1" applyBorder="1" applyAlignment="1"/>
    <xf numFmtId="4" fontId="3" fillId="0" borderId="1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0" xfId="0" applyNumberFormat="1" applyFont="1" applyAlignment="1"/>
    <xf numFmtId="0" fontId="8" fillId="0" borderId="18" xfId="0" applyNumberFormat="1" applyFont="1" applyBorder="1" applyAlignment="1" applyProtection="1">
      <protection locked="0"/>
    </xf>
    <xf numFmtId="0" fontId="3" fillId="0" borderId="18" xfId="0" applyFont="1" applyBorder="1" applyAlignment="1"/>
    <xf numFmtId="0" fontId="4" fillId="3" borderId="4" xfId="0" applyNumberFormat="1" applyFont="1" applyFill="1" applyBorder="1" applyAlignment="1">
      <alignment horizontal="center"/>
    </xf>
    <xf numFmtId="0" fontId="3" fillId="3" borderId="19" xfId="0" applyNumberFormat="1" applyFont="1" applyFill="1" applyBorder="1" applyAlignment="1"/>
    <xf numFmtId="0" fontId="3" fillId="3" borderId="5" xfId="0" applyFont="1" applyFill="1" applyBorder="1" applyAlignment="1"/>
    <xf numFmtId="0" fontId="4" fillId="3" borderId="3" xfId="0" applyFont="1" applyFill="1" applyBorder="1" applyAlignment="1">
      <alignment horizontal="right"/>
    </xf>
    <xf numFmtId="0" fontId="4" fillId="3" borderId="20" xfId="0" applyNumberFormat="1" applyFont="1" applyFill="1" applyBorder="1" applyAlignment="1">
      <alignment horizontal="center"/>
    </xf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3" fontId="8" fillId="0" borderId="27" xfId="0" applyNumberFormat="1" applyFont="1" applyBorder="1" applyAlignment="1" applyProtection="1">
      <alignment horizontal="center"/>
      <protection locked="0"/>
    </xf>
    <xf numFmtId="0" fontId="3" fillId="0" borderId="28" xfId="0" applyNumberFormat="1" applyFont="1" applyBorder="1" applyAlignment="1"/>
    <xf numFmtId="3" fontId="8" fillId="0" borderId="28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  <protection locked="0"/>
    </xf>
    <xf numFmtId="3" fontId="8" fillId="0" borderId="32" xfId="0" applyNumberFormat="1" applyFont="1" applyBorder="1" applyAlignment="1" applyProtection="1">
      <alignment horizontal="center"/>
      <protection locked="0"/>
    </xf>
    <xf numFmtId="0" fontId="3" fillId="0" borderId="33" xfId="0" applyNumberFormat="1" applyFont="1" applyBorder="1" applyAlignment="1"/>
    <xf numFmtId="3" fontId="8" fillId="0" borderId="33" xfId="0" applyNumberFormat="1" applyFont="1" applyBorder="1" applyAlignment="1" applyProtection="1">
      <alignment horizontal="center"/>
      <protection locked="0"/>
    </xf>
    <xf numFmtId="3" fontId="8" fillId="0" borderId="6" xfId="0" applyNumberFormat="1" applyFont="1" applyBorder="1" applyAlignment="1" applyProtection="1">
      <alignment horizontal="center"/>
      <protection locked="0"/>
    </xf>
    <xf numFmtId="0" fontId="3" fillId="0" borderId="4" xfId="0" applyNumberFormat="1" applyFont="1" applyBorder="1" applyAlignment="1"/>
    <xf numFmtId="1" fontId="4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 applyProtection="1">
      <alignment horizontal="center"/>
      <protection locked="0"/>
    </xf>
    <xf numFmtId="0" fontId="3" fillId="0" borderId="36" xfId="0" applyNumberFormat="1" applyFont="1" applyBorder="1" applyAlignment="1"/>
    <xf numFmtId="3" fontId="4" fillId="0" borderId="36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Border="1" applyAlignment="1">
      <alignment horizontal="center"/>
    </xf>
    <xf numFmtId="3" fontId="5" fillId="0" borderId="37" xfId="0" applyNumberFormat="1" applyFont="1" applyBorder="1" applyAlignment="1" applyProtection="1">
      <alignment horizontal="left"/>
      <protection locked="0"/>
    </xf>
    <xf numFmtId="0" fontId="3" fillId="0" borderId="18" xfId="0" applyNumberFormat="1" applyFont="1" applyBorder="1" applyAlignment="1"/>
    <xf numFmtId="3" fontId="5" fillId="0" borderId="18" xfId="0" applyNumberFormat="1" applyFont="1" applyBorder="1" applyAlignment="1" applyProtection="1">
      <alignment horizontal="center"/>
      <protection locked="0"/>
    </xf>
    <xf numFmtId="3" fontId="5" fillId="0" borderId="38" xfId="0" applyNumberFormat="1" applyFont="1" applyBorder="1" applyAlignment="1" applyProtection="1">
      <alignment horizontal="left"/>
      <protection locked="0"/>
    </xf>
    <xf numFmtId="0" fontId="3" fillId="0" borderId="39" xfId="0" applyNumberFormat="1" applyFont="1" applyBorder="1" applyAlignment="1"/>
    <xf numFmtId="3" fontId="5" fillId="0" borderId="39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left"/>
      <protection locked="0"/>
    </xf>
    <xf numFmtId="3" fontId="5" fillId="0" borderId="40" xfId="0" applyNumberFormat="1" applyFont="1" applyBorder="1" applyAlignment="1" applyProtection="1">
      <alignment horizontal="left"/>
      <protection locked="0"/>
    </xf>
    <xf numFmtId="0" fontId="3" fillId="0" borderId="41" xfId="0" applyNumberFormat="1" applyFont="1" applyBorder="1" applyAlignment="1"/>
    <xf numFmtId="3" fontId="5" fillId="0" borderId="41" xfId="0" applyNumberFormat="1" applyFont="1" applyBorder="1" applyAlignment="1" applyProtection="1">
      <alignment horizontal="center"/>
      <protection locked="0"/>
    </xf>
    <xf numFmtId="3" fontId="5" fillId="0" borderId="8" xfId="0" applyNumberFormat="1" applyFont="1" applyBorder="1" applyAlignment="1" applyProtection="1">
      <alignment horizontal="left"/>
      <protection locked="0"/>
    </xf>
    <xf numFmtId="10" fontId="4" fillId="0" borderId="42" xfId="0" applyNumberFormat="1" applyFont="1" applyBorder="1" applyAlignment="1">
      <alignment horizontal="center"/>
    </xf>
    <xf numFmtId="0" fontId="5" fillId="0" borderId="37" xfId="0" applyFont="1" applyBorder="1" applyAlignment="1"/>
    <xf numFmtId="0" fontId="5" fillId="0" borderId="39" xfId="0" applyNumberFormat="1" applyFont="1" applyBorder="1" applyAlignment="1"/>
    <xf numFmtId="3" fontId="9" fillId="0" borderId="8" xfId="0" applyNumberFormat="1" applyFont="1" applyFill="1" applyBorder="1" applyAlignment="1" applyProtection="1">
      <alignment horizontal="left"/>
      <protection locked="0"/>
    </xf>
    <xf numFmtId="5" fontId="3" fillId="0" borderId="4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5" fontId="3" fillId="0" borderId="34" xfId="0" applyNumberFormat="1" applyFont="1" applyBorder="1" applyAlignment="1">
      <alignment horizontal="center"/>
    </xf>
    <xf numFmtId="0" fontId="3" fillId="0" borderId="44" xfId="0" applyNumberFormat="1" applyFont="1" applyBorder="1" applyAlignment="1"/>
    <xf numFmtId="0" fontId="3" fillId="2" borderId="0" xfId="0" applyFont="1" applyFill="1" applyBorder="1" applyAlignment="1"/>
    <xf numFmtId="0" fontId="3" fillId="3" borderId="0" xfId="0" applyFont="1" applyFill="1" applyAlignment="1"/>
    <xf numFmtId="0" fontId="2" fillId="0" borderId="0" xfId="0" applyFont="1" applyBorder="1" applyAlignment="1"/>
    <xf numFmtId="0" fontId="3" fillId="2" borderId="0" xfId="0" applyFont="1" applyFill="1"/>
    <xf numFmtId="0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Border="1"/>
    <xf numFmtId="0" fontId="3" fillId="3" borderId="45" xfId="0" applyFont="1" applyFill="1" applyBorder="1" applyAlignment="1"/>
    <xf numFmtId="0" fontId="4" fillId="3" borderId="45" xfId="0" applyFont="1" applyFill="1" applyBorder="1" applyAlignment="1"/>
    <xf numFmtId="0" fontId="3" fillId="3" borderId="46" xfId="0" applyFont="1" applyFill="1" applyBorder="1" applyAlignment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/>
    <xf numFmtId="0" fontId="3" fillId="0" borderId="31" xfId="0" applyFont="1" applyBorder="1" applyAlignment="1"/>
    <xf numFmtId="0" fontId="3" fillId="0" borderId="50" xfId="0" applyFont="1" applyBorder="1" applyAlignment="1"/>
    <xf numFmtId="0" fontId="3" fillId="2" borderId="0" xfId="0" applyFont="1" applyFill="1" applyBorder="1"/>
    <xf numFmtId="10" fontId="3" fillId="0" borderId="16" xfId="0" applyNumberFormat="1" applyFont="1" applyBorder="1" applyAlignment="1">
      <alignment horizontal="center"/>
    </xf>
    <xf numFmtId="0" fontId="3" fillId="0" borderId="42" xfId="0" applyFont="1" applyBorder="1" applyAlignment="1"/>
    <xf numFmtId="0" fontId="3" fillId="0" borderId="16" xfId="0" applyFont="1" applyBorder="1" applyAlignment="1">
      <alignment horizontal="center"/>
    </xf>
    <xf numFmtId="3" fontId="3" fillId="0" borderId="51" xfId="0" applyNumberFormat="1" applyFont="1" applyBorder="1" applyAlignment="1">
      <alignment horizontal="center"/>
    </xf>
    <xf numFmtId="0" fontId="3" fillId="3" borderId="47" xfId="0" applyFont="1" applyFill="1" applyBorder="1" applyAlignment="1"/>
    <xf numFmtId="0" fontId="3" fillId="3" borderId="52" xfId="0" applyFont="1" applyFill="1" applyBorder="1" applyAlignment="1"/>
    <xf numFmtId="0" fontId="4" fillId="3" borderId="52" xfId="0" applyFont="1" applyFill="1" applyBorder="1" applyAlignment="1">
      <alignment horizontal="center"/>
    </xf>
    <xf numFmtId="0" fontId="3" fillId="3" borderId="49" xfId="0" applyFont="1" applyFill="1" applyBorder="1" applyAlignment="1"/>
    <xf numFmtId="0" fontId="3" fillId="3" borderId="53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0" borderId="55" xfId="0" applyFont="1" applyBorder="1" applyAlignment="1"/>
    <xf numFmtId="3" fontId="3" fillId="0" borderId="11" xfId="0" applyNumberFormat="1" applyFont="1" applyBorder="1" applyAlignment="1">
      <alignment horizontal="center"/>
    </xf>
    <xf numFmtId="3" fontId="3" fillId="0" borderId="56" xfId="0" applyNumberFormat="1" applyFont="1" applyBorder="1" applyAlignment="1">
      <alignment horizontal="center"/>
    </xf>
    <xf numFmtId="0" fontId="3" fillId="0" borderId="57" xfId="0" applyFont="1" applyBorder="1" applyAlignment="1"/>
    <xf numFmtId="3" fontId="3" fillId="0" borderId="58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3" fillId="3" borderId="31" xfId="0" applyFont="1" applyFill="1" applyBorder="1" applyAlignment="1"/>
    <xf numFmtId="0" fontId="3" fillId="3" borderId="0" xfId="0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10" fontId="3" fillId="0" borderId="51" xfId="0" applyNumberFormat="1" applyFont="1" applyBorder="1" applyAlignment="1">
      <alignment horizontal="center"/>
    </xf>
    <xf numFmtId="10" fontId="3" fillId="0" borderId="58" xfId="0" applyNumberFormat="1" applyFont="1" applyBorder="1" applyAlignment="1">
      <alignment horizontal="center"/>
    </xf>
    <xf numFmtId="0" fontId="3" fillId="3" borderId="0" xfId="0" applyFont="1" applyFill="1" applyBorder="1" applyAlignment="1"/>
    <xf numFmtId="4" fontId="4" fillId="3" borderId="0" xfId="0" applyNumberFormat="1" applyFont="1" applyFill="1" applyBorder="1" applyAlignment="1">
      <alignment horizontal="center"/>
    </xf>
    <xf numFmtId="0" fontId="3" fillId="3" borderId="50" xfId="0" applyFont="1" applyFill="1" applyBorder="1" applyAlignment="1"/>
    <xf numFmtId="3" fontId="3" fillId="0" borderId="19" xfId="0" applyNumberFormat="1" applyFont="1" applyBorder="1" applyAlignment="1">
      <alignment horizontal="center"/>
    </xf>
    <xf numFmtId="0" fontId="3" fillId="0" borderId="60" xfId="0" applyFont="1" applyBorder="1" applyAlignment="1"/>
    <xf numFmtId="3" fontId="3" fillId="0" borderId="61" xfId="0" applyNumberFormat="1" applyFont="1" applyBorder="1" applyAlignment="1" applyProtection="1">
      <alignment horizontal="center"/>
      <protection locked="0"/>
    </xf>
    <xf numFmtId="0" fontId="3" fillId="0" borderId="62" xfId="0" applyFont="1" applyBorder="1" applyAlignment="1"/>
    <xf numFmtId="3" fontId="3" fillId="0" borderId="61" xfId="0" applyNumberFormat="1" applyFont="1" applyBorder="1" applyAlignment="1">
      <alignment horizontal="center"/>
    </xf>
    <xf numFmtId="0" fontId="3" fillId="0" borderId="63" xfId="0" applyFont="1" applyBorder="1" applyAlignment="1"/>
    <xf numFmtId="3" fontId="3" fillId="0" borderId="42" xfId="0" applyNumberFormat="1" applyFont="1" applyBorder="1" applyAlignment="1">
      <alignment horizontal="center"/>
    </xf>
    <xf numFmtId="4" fontId="4" fillId="0" borderId="49" xfId="0" applyNumberFormat="1" applyFont="1" applyBorder="1" applyAlignment="1">
      <alignment horizontal="center"/>
    </xf>
    <xf numFmtId="3" fontId="3" fillId="0" borderId="0" xfId="0" applyNumberFormat="1" applyFont="1" applyBorder="1" applyAlignment="1"/>
    <xf numFmtId="3" fontId="3" fillId="0" borderId="25" xfId="0" applyNumberFormat="1" applyFont="1" applyBorder="1" applyAlignment="1"/>
    <xf numFmtId="10" fontId="3" fillId="0" borderId="61" xfId="0" applyNumberFormat="1" applyFont="1" applyBorder="1" applyAlignment="1">
      <alignment horizontal="center"/>
    </xf>
    <xf numFmtId="0" fontId="3" fillId="0" borderId="63" xfId="0" applyFont="1" applyBorder="1"/>
    <xf numFmtId="0" fontId="3" fillId="0" borderId="64" xfId="0" applyFont="1" applyBorder="1" applyAlignment="1"/>
    <xf numFmtId="3" fontId="3" fillId="0" borderId="65" xfId="0" applyNumberFormat="1" applyFont="1" applyBorder="1" applyAlignment="1">
      <alignment horizontal="center"/>
    </xf>
    <xf numFmtId="0" fontId="3" fillId="3" borderId="66" xfId="0" applyFont="1" applyFill="1" applyBorder="1" applyAlignment="1"/>
    <xf numFmtId="0" fontId="3" fillId="0" borderId="67" xfId="0" applyFont="1" applyBorder="1" applyAlignment="1"/>
    <xf numFmtId="3" fontId="3" fillId="0" borderId="0" xfId="0" applyNumberFormat="1" applyFont="1"/>
    <xf numFmtId="3" fontId="3" fillId="3" borderId="0" xfId="0" applyNumberFormat="1" applyFont="1" applyFill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0" borderId="6" xfId="0" applyNumberFormat="1" applyFont="1" applyBorder="1" applyAlignment="1"/>
    <xf numFmtId="3" fontId="3" fillId="0" borderId="4" xfId="0" applyNumberFormat="1" applyFont="1" applyBorder="1" applyAlignment="1"/>
    <xf numFmtId="3" fontId="3" fillId="0" borderId="19" xfId="0" applyNumberFormat="1" applyFont="1" applyBorder="1" applyAlignment="1"/>
    <xf numFmtId="3" fontId="3" fillId="0" borderId="35" xfId="0" applyNumberFormat="1" applyFont="1" applyBorder="1" applyAlignment="1"/>
    <xf numFmtId="3" fontId="3" fillId="0" borderId="36" xfId="0" applyNumberFormat="1" applyFont="1" applyBorder="1" applyAlignment="1"/>
    <xf numFmtId="3" fontId="3" fillId="0" borderId="68" xfId="0" applyNumberFormat="1" applyFont="1" applyBorder="1" applyAlignment="1"/>
    <xf numFmtId="3" fontId="3" fillId="0" borderId="8" xfId="0" applyNumberFormat="1" applyFont="1" applyBorder="1" applyAlignment="1"/>
    <xf numFmtId="3" fontId="3" fillId="0" borderId="5" xfId="0" applyNumberFormat="1" applyFont="1" applyBorder="1" applyAlignment="1"/>
    <xf numFmtId="3" fontId="3" fillId="0" borderId="3" xfId="0" applyNumberFormat="1" applyFont="1" applyBorder="1" applyAlignment="1"/>
    <xf numFmtId="3" fontId="3" fillId="0" borderId="69" xfId="0" applyNumberFormat="1" applyFont="1" applyBorder="1" applyAlignment="1"/>
    <xf numFmtId="0" fontId="3" fillId="0" borderId="7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3" fillId="0" borderId="71" xfId="0" applyFont="1" applyBorder="1" applyAlignment="1"/>
    <xf numFmtId="3" fontId="6" fillId="0" borderId="0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3" borderId="3" xfId="0" applyNumberFormat="1" applyFont="1" applyFill="1" applyBorder="1" applyAlignment="1">
      <alignment horizontal="center"/>
    </xf>
    <xf numFmtId="3" fontId="5" fillId="0" borderId="72" xfId="0" applyNumberFormat="1" applyFont="1" applyBorder="1" applyAlignment="1" applyProtection="1">
      <alignment horizontal="center"/>
      <protection locked="0"/>
    </xf>
    <xf numFmtId="5" fontId="3" fillId="0" borderId="73" xfId="0" applyNumberFormat="1" applyFont="1" applyBorder="1" applyAlignment="1">
      <alignment horizontal="center"/>
    </xf>
    <xf numFmtId="166" fontId="5" fillId="0" borderId="74" xfId="0" applyNumberFormat="1" applyFont="1" applyBorder="1" applyAlignment="1">
      <alignment horizontal="center"/>
    </xf>
    <xf numFmtId="166" fontId="5" fillId="0" borderId="75" xfId="0" applyNumberFormat="1" applyFont="1" applyBorder="1" applyAlignment="1">
      <alignment horizontal="center"/>
    </xf>
    <xf numFmtId="0" fontId="5" fillId="0" borderId="75" xfId="0" applyNumberFormat="1" applyFont="1" applyBorder="1" applyAlignment="1"/>
    <xf numFmtId="10" fontId="5" fillId="0" borderId="74" xfId="0" applyNumberFormat="1" applyFont="1" applyBorder="1" applyAlignment="1">
      <alignment horizontal="center"/>
    </xf>
    <xf numFmtId="166" fontId="5" fillId="0" borderId="76" xfId="0" applyNumberFormat="1" applyFont="1" applyBorder="1" applyAlignment="1">
      <alignment horizontal="center"/>
    </xf>
    <xf numFmtId="168" fontId="3" fillId="0" borderId="0" xfId="1" applyNumberFormat="1" applyFont="1" applyAlignment="1"/>
    <xf numFmtId="10" fontId="4" fillId="0" borderId="77" xfId="3" applyNumberFormat="1" applyFont="1" applyBorder="1" applyAlignment="1">
      <alignment horizontal="center"/>
    </xf>
    <xf numFmtId="0" fontId="4" fillId="0" borderId="78" xfId="0" applyFont="1" applyBorder="1" applyAlignment="1"/>
    <xf numFmtId="0" fontId="4" fillId="3" borderId="53" xfId="0" applyFont="1" applyFill="1" applyBorder="1" applyAlignment="1"/>
    <xf numFmtId="0" fontId="3" fillId="0" borderId="31" xfId="0" applyNumberFormat="1" applyFont="1" applyBorder="1" applyAlignment="1"/>
    <xf numFmtId="0" fontId="3" fillId="0" borderId="79" xfId="0" applyFont="1" applyBorder="1" applyAlignment="1"/>
    <xf numFmtId="0" fontId="3" fillId="0" borderId="81" xfId="0" applyFont="1" applyBorder="1" applyAlignment="1"/>
    <xf numFmtId="0" fontId="3" fillId="3" borderId="55" xfId="0" applyNumberFormat="1" applyFont="1" applyFill="1" applyBorder="1" applyAlignment="1"/>
    <xf numFmtId="0" fontId="3" fillId="0" borderId="82" xfId="0" applyFont="1" applyBorder="1" applyAlignment="1"/>
    <xf numFmtId="0" fontId="3" fillId="0" borderId="79" xfId="0" applyNumberFormat="1" applyFont="1" applyBorder="1" applyAlignment="1" applyProtection="1">
      <alignment horizontal="left"/>
      <protection locked="0"/>
    </xf>
    <xf numFmtId="0" fontId="3" fillId="0" borderId="83" xfId="0" applyFont="1" applyBorder="1" applyAlignment="1"/>
    <xf numFmtId="0" fontId="3" fillId="0" borderId="84" xfId="0" applyFont="1" applyBorder="1" applyAlignment="1"/>
    <xf numFmtId="0" fontId="2" fillId="0" borderId="31" xfId="0" applyFont="1" applyBorder="1" applyAlignment="1"/>
    <xf numFmtId="0" fontId="3" fillId="0" borderId="60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3" fontId="5" fillId="0" borderId="85" xfId="0" applyNumberFormat="1" applyFont="1" applyBorder="1" applyAlignment="1" applyProtection="1">
      <alignment horizontal="center"/>
      <protection locked="0"/>
    </xf>
    <xf numFmtId="0" fontId="3" fillId="0" borderId="87" xfId="0" applyFont="1" applyBorder="1" applyAlignment="1"/>
    <xf numFmtId="0" fontId="3" fillId="0" borderId="88" xfId="0" applyFont="1" applyBorder="1" applyAlignment="1"/>
    <xf numFmtId="0" fontId="3" fillId="3" borderId="54" xfId="0" applyFont="1" applyFill="1" applyBorder="1" applyAlignment="1"/>
    <xf numFmtId="0" fontId="4" fillId="3" borderId="89" xfId="0" applyFont="1" applyFill="1" applyBorder="1" applyAlignment="1">
      <alignment horizontal="center"/>
    </xf>
    <xf numFmtId="3" fontId="4" fillId="0" borderId="85" xfId="0" applyNumberFormat="1" applyFont="1" applyBorder="1" applyAlignment="1">
      <alignment horizontal="center"/>
    </xf>
    <xf numFmtId="3" fontId="4" fillId="0" borderId="86" xfId="0" applyNumberFormat="1" applyFont="1" applyBorder="1" applyAlignment="1">
      <alignment horizontal="center"/>
    </xf>
    <xf numFmtId="164" fontId="4" fillId="0" borderId="60" xfId="0" applyNumberFormat="1" applyFont="1" applyBorder="1" applyAlignment="1">
      <alignment horizontal="center"/>
    </xf>
    <xf numFmtId="164" fontId="4" fillId="0" borderId="90" xfId="0" applyNumberFormat="1" applyFont="1" applyBorder="1" applyAlignment="1">
      <alignment horizontal="center"/>
    </xf>
    <xf numFmtId="9" fontId="5" fillId="0" borderId="91" xfId="0" applyNumberFormat="1" applyFont="1" applyBorder="1" applyAlignment="1" applyProtection="1">
      <alignment horizontal="center"/>
      <protection locked="0"/>
    </xf>
    <xf numFmtId="9" fontId="5" fillId="0" borderId="88" xfId="0" applyNumberFormat="1" applyFont="1" applyBorder="1" applyAlignment="1" applyProtection="1">
      <alignment horizontal="center"/>
      <protection locked="0"/>
    </xf>
    <xf numFmtId="167" fontId="5" fillId="0" borderId="92" xfId="0" applyNumberFormat="1" applyFont="1" applyBorder="1" applyAlignment="1">
      <alignment horizontal="center"/>
    </xf>
    <xf numFmtId="0" fontId="3" fillId="0" borderId="50" xfId="0" applyNumberFormat="1" applyFont="1" applyBorder="1" applyAlignment="1"/>
    <xf numFmtId="0" fontId="3" fillId="0" borderId="50" xfId="0" applyNumberFormat="1" applyFont="1" applyBorder="1"/>
    <xf numFmtId="0" fontId="15" fillId="0" borderId="0" xfId="0" applyFont="1" applyBorder="1" applyAlignment="1"/>
    <xf numFmtId="0" fontId="16" fillId="0" borderId="0" xfId="0" applyFont="1" applyBorder="1" applyAlignment="1"/>
    <xf numFmtId="0" fontId="14" fillId="0" borderId="0" xfId="0" applyFont="1" applyBorder="1" applyAlignment="1"/>
    <xf numFmtId="0" fontId="17" fillId="0" borderId="0" xfId="0" applyFont="1" applyBorder="1" applyAlignment="1">
      <alignment horizontal="right"/>
    </xf>
    <xf numFmtId="14" fontId="17" fillId="0" borderId="0" xfId="0" applyNumberFormat="1" applyFont="1" applyBorder="1" applyAlignment="1"/>
    <xf numFmtId="0" fontId="14" fillId="0" borderId="34" xfId="0" applyFont="1" applyBorder="1" applyAlignment="1"/>
    <xf numFmtId="0" fontId="15" fillId="0" borderId="34" xfId="0" applyFont="1" applyBorder="1" applyAlignment="1"/>
    <xf numFmtId="0" fontId="17" fillId="0" borderId="0" xfId="0" applyFont="1" applyBorder="1" applyAlignment="1"/>
    <xf numFmtId="0" fontId="15" fillId="0" borderId="0" xfId="0" applyFont="1" applyAlignment="1"/>
    <xf numFmtId="0" fontId="15" fillId="0" borderId="66" xfId="0" applyFont="1" applyBorder="1" applyAlignment="1"/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3" fontId="5" fillId="4" borderId="15" xfId="0" applyNumberFormat="1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3" fontId="5" fillId="4" borderId="16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166" fontId="5" fillId="0" borderId="94" xfId="0" applyNumberFormat="1" applyFont="1" applyBorder="1" applyAlignment="1">
      <alignment horizontal="center"/>
    </xf>
    <xf numFmtId="5" fontId="3" fillId="0" borderId="95" xfId="0" applyNumberFormat="1" applyFont="1" applyBorder="1" applyAlignment="1">
      <alignment horizontal="center"/>
    </xf>
    <xf numFmtId="5" fontId="3" fillId="0" borderId="97" xfId="0" applyNumberFormat="1" applyFont="1" applyBorder="1" applyAlignment="1">
      <alignment horizontal="center"/>
    </xf>
    <xf numFmtId="0" fontId="4" fillId="3" borderId="26" xfId="0" applyNumberFormat="1" applyFont="1" applyFill="1" applyBorder="1" applyAlignment="1">
      <alignment horizontal="center"/>
    </xf>
    <xf numFmtId="3" fontId="3" fillId="0" borderId="98" xfId="0" applyNumberFormat="1" applyFont="1" applyBorder="1" applyAlignment="1" applyProtection="1">
      <alignment horizontal="center"/>
      <protection locked="0"/>
    </xf>
    <xf numFmtId="3" fontId="3" fillId="0" borderId="98" xfId="0" applyNumberFormat="1" applyFont="1" applyBorder="1" applyAlignment="1">
      <alignment horizontal="center"/>
    </xf>
    <xf numFmtId="37" fontId="3" fillId="0" borderId="98" xfId="0" applyNumberFormat="1" applyFont="1" applyBorder="1" applyAlignment="1">
      <alignment horizontal="center"/>
    </xf>
    <xf numFmtId="3" fontId="6" fillId="0" borderId="99" xfId="0" applyNumberFormat="1" applyFont="1" applyBorder="1" applyAlignment="1">
      <alignment horizontal="center"/>
    </xf>
    <xf numFmtId="3" fontId="5" fillId="0" borderId="98" xfId="0" applyNumberFormat="1" applyFont="1" applyBorder="1" applyAlignment="1" applyProtection="1">
      <alignment horizontal="center"/>
      <protection locked="0"/>
    </xf>
    <xf numFmtId="3" fontId="5" fillId="0" borderId="99" xfId="0" applyNumberFormat="1" applyFont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5" fillId="0" borderId="98" xfId="0" applyNumberFormat="1" applyFont="1" applyBorder="1" applyAlignment="1">
      <alignment horizontal="center"/>
    </xf>
    <xf numFmtId="0" fontId="3" fillId="0" borderId="74" xfId="0" applyFont="1" applyBorder="1" applyAlignment="1"/>
    <xf numFmtId="0" fontId="3" fillId="0" borderId="101" xfId="0" applyFont="1" applyBorder="1" applyAlignment="1"/>
    <xf numFmtId="0" fontId="3" fillId="0" borderId="102" xfId="0" applyFont="1" applyBorder="1" applyAlignment="1"/>
    <xf numFmtId="0" fontId="3" fillId="0" borderId="103" xfId="0" applyFont="1" applyBorder="1" applyAlignment="1"/>
    <xf numFmtId="0" fontId="4" fillId="0" borderId="103" xfId="0" applyFont="1" applyBorder="1" applyAlignment="1">
      <alignment horizontal="center"/>
    </xf>
    <xf numFmtId="0" fontId="4" fillId="0" borderId="103" xfId="0" applyFont="1" applyBorder="1" applyAlignment="1"/>
    <xf numFmtId="0" fontId="4" fillId="0" borderId="101" xfId="0" applyFont="1" applyBorder="1" applyAlignment="1"/>
    <xf numFmtId="0" fontId="3" fillId="0" borderId="101" xfId="0" applyNumberFormat="1" applyFont="1" applyBorder="1"/>
    <xf numFmtId="0" fontId="4" fillId="0" borderId="102" xfId="0" applyFont="1" applyBorder="1" applyAlignment="1"/>
    <xf numFmtId="0" fontId="3" fillId="0" borderId="20" xfId="0" applyFont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3" fillId="0" borderId="100" xfId="0" applyNumberFormat="1" applyFont="1" applyBorder="1" applyAlignment="1"/>
    <xf numFmtId="3" fontId="3" fillId="0" borderId="104" xfId="0" applyNumberFormat="1" applyFont="1" applyBorder="1" applyAlignment="1">
      <alignment horizontal="center"/>
    </xf>
    <xf numFmtId="0" fontId="3" fillId="0" borderId="0" xfId="0" applyNumberFormat="1" applyFont="1" applyFill="1" applyAlignment="1"/>
    <xf numFmtId="0" fontId="4" fillId="0" borderId="0" xfId="0" applyFont="1" applyFill="1" applyBorder="1" applyAlignment="1"/>
    <xf numFmtId="4" fontId="4" fillId="0" borderId="0" xfId="0" applyNumberFormat="1" applyFont="1" applyFill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3" fillId="0" borderId="105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3" fillId="0" borderId="12" xfId="0" applyFont="1" applyBorder="1" applyAlignment="1"/>
    <xf numFmtId="0" fontId="3" fillId="0" borderId="17" xfId="0" applyFont="1" applyBorder="1" applyAlignment="1"/>
    <xf numFmtId="0" fontId="3" fillId="0" borderId="106" xfId="0" applyFont="1" applyBorder="1" applyAlignment="1"/>
    <xf numFmtId="0" fontId="3" fillId="0" borderId="83" xfId="0" applyFont="1" applyBorder="1" applyAlignment="1">
      <alignment horizontal="center"/>
    </xf>
    <xf numFmtId="0" fontId="7" fillId="0" borderId="96" xfId="0" applyFont="1" applyBorder="1" applyAlignment="1"/>
    <xf numFmtId="0" fontId="3" fillId="0" borderId="9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3" fontId="3" fillId="0" borderId="0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3" fontId="5" fillId="0" borderId="0" xfId="0" applyNumberFormat="1" applyFont="1" applyFill="1" applyBorder="1" applyAlignment="1" applyProtection="1">
      <alignment horizontal="center"/>
      <protection locked="0"/>
    </xf>
    <xf numFmtId="0" fontId="4" fillId="0" borderId="31" xfId="0" applyFont="1" applyFill="1" applyBorder="1" applyAlignment="1"/>
    <xf numFmtId="0" fontId="4" fillId="0" borderId="31" xfId="0" applyNumberFormat="1" applyFont="1" applyFill="1" applyBorder="1" applyAlignment="1"/>
    <xf numFmtId="3" fontId="18" fillId="4" borderId="1" xfId="0" applyNumberFormat="1" applyFont="1" applyFill="1" applyBorder="1" applyAlignment="1" applyProtection="1">
      <alignment horizontal="right"/>
      <protection locked="0"/>
    </xf>
    <xf numFmtId="0" fontId="3" fillId="4" borderId="108" xfId="0" applyFont="1" applyFill="1" applyBorder="1" applyAlignment="1">
      <alignment horizontal="center"/>
    </xf>
    <xf numFmtId="0" fontId="13" fillId="0" borderId="8" xfId="0" applyNumberFormat="1" applyFont="1" applyFill="1" applyBorder="1" applyAlignment="1"/>
    <xf numFmtId="0" fontId="13" fillId="0" borderId="0" xfId="0" applyNumberFormat="1" applyFont="1" applyFill="1" applyBorder="1" applyAlignment="1"/>
    <xf numFmtId="3" fontId="13" fillId="0" borderId="8" xfId="0" applyNumberFormat="1" applyFont="1" applyFill="1" applyBorder="1" applyAlignment="1">
      <alignment horizontal="left"/>
    </xf>
    <xf numFmtId="0" fontId="13" fillId="0" borderId="0" xfId="0" applyFont="1" applyFill="1" applyBorder="1" applyAlignment="1"/>
    <xf numFmtId="165" fontId="5" fillId="4" borderId="16" xfId="0" applyNumberFormat="1" applyFont="1" applyFill="1" applyBorder="1" applyAlignment="1" applyProtection="1">
      <alignment horizontal="center"/>
      <protection locked="0"/>
    </xf>
    <xf numFmtId="166" fontId="5" fillId="4" borderId="92" xfId="0" applyNumberFormat="1" applyFont="1" applyFill="1" applyBorder="1" applyAlignment="1" applyProtection="1">
      <alignment horizontal="center"/>
      <protection locked="0"/>
    </xf>
    <xf numFmtId="166" fontId="5" fillId="4" borderId="8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center"/>
    </xf>
    <xf numFmtId="3" fontId="3" fillId="0" borderId="16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3" fontId="4" fillId="0" borderId="28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/>
    <xf numFmtId="10" fontId="13" fillId="0" borderId="110" xfId="0" applyNumberFormat="1" applyFont="1" applyFill="1" applyBorder="1" applyAlignment="1">
      <alignment horizontal="center"/>
    </xf>
    <xf numFmtId="3" fontId="4" fillId="4" borderId="99" xfId="0" applyNumberFormat="1" applyFont="1" applyFill="1" applyBorder="1" applyAlignment="1" applyProtection="1">
      <alignment horizontal="center"/>
      <protection locked="0"/>
    </xf>
    <xf numFmtId="3" fontId="4" fillId="4" borderId="99" xfId="0" applyNumberFormat="1" applyFont="1" applyFill="1" applyBorder="1" applyAlignment="1">
      <alignment horizontal="center"/>
    </xf>
    <xf numFmtId="3" fontId="8" fillId="4" borderId="111" xfId="0" applyNumberFormat="1" applyFont="1" applyFill="1" applyBorder="1" applyAlignment="1" applyProtection="1">
      <alignment horizontal="center"/>
      <protection locked="0"/>
    </xf>
    <xf numFmtId="3" fontId="8" fillId="4" borderId="27" xfId="0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Alignment="1"/>
    <xf numFmtId="0" fontId="3" fillId="0" borderId="8" xfId="0" applyNumberFormat="1" applyFont="1" applyBorder="1" applyAlignment="1">
      <alignment horizontal="center"/>
    </xf>
    <xf numFmtId="0" fontId="19" fillId="3" borderId="0" xfId="0" applyFont="1" applyFill="1" applyBorder="1" applyAlignment="1"/>
    <xf numFmtId="166" fontId="3" fillId="4" borderId="50" xfId="3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5" fillId="0" borderId="50" xfId="0" applyNumberFormat="1" applyFont="1" applyFill="1" applyBorder="1" applyAlignment="1">
      <alignment horizontal="center"/>
    </xf>
    <xf numFmtId="164" fontId="3" fillId="0" borderId="50" xfId="0" applyNumberFormat="1" applyFont="1" applyFill="1" applyBorder="1" applyAlignment="1"/>
    <xf numFmtId="0" fontId="7" fillId="0" borderId="31" xfId="0" applyFont="1" applyBorder="1" applyAlignment="1">
      <alignment horizontal="left"/>
    </xf>
    <xf numFmtId="0" fontId="7" fillId="0" borderId="31" xfId="0" applyNumberFormat="1" applyFont="1" applyFill="1" applyBorder="1" applyAlignment="1">
      <alignment horizontal="left"/>
    </xf>
    <xf numFmtId="0" fontId="8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/>
    </xf>
    <xf numFmtId="169" fontId="3" fillId="0" borderId="0" xfId="1" applyNumberFormat="1" applyFont="1"/>
    <xf numFmtId="169" fontId="3" fillId="0" borderId="0" xfId="1" applyNumberFormat="1" applyFont="1" applyBorder="1"/>
    <xf numFmtId="169" fontId="3" fillId="0" borderId="0" xfId="0" applyNumberFormat="1" applyFont="1" applyAlignment="1"/>
    <xf numFmtId="169" fontId="3" fillId="0" borderId="0" xfId="0" applyNumberFormat="1" applyFont="1"/>
    <xf numFmtId="0" fontId="4" fillId="0" borderId="0" xfId="0" applyFont="1" applyBorder="1" applyAlignment="1"/>
    <xf numFmtId="0" fontId="4" fillId="3" borderId="0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3" fontId="8" fillId="0" borderId="0" xfId="0" applyNumberFormat="1" applyFont="1" applyBorder="1" applyAlignment="1" applyProtection="1">
      <protection locked="0"/>
    </xf>
    <xf numFmtId="3" fontId="8" fillId="0" borderId="0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 applyProtection="1">
      <alignment horizontal="left"/>
    </xf>
    <xf numFmtId="0" fontId="4" fillId="0" borderId="0" xfId="0" applyFont="1" applyBorder="1" applyAlignment="1">
      <alignment horizontal="left"/>
    </xf>
    <xf numFmtId="10" fontId="4" fillId="0" borderId="0" xfId="0" applyNumberFormat="1" applyFont="1" applyBorder="1" applyAlignment="1">
      <alignment horizontal="center"/>
    </xf>
    <xf numFmtId="169" fontId="3" fillId="0" borderId="0" xfId="1" quotePrefix="1" applyNumberFormat="1" applyFont="1"/>
    <xf numFmtId="37" fontId="4" fillId="3" borderId="16" xfId="0" applyNumberFormat="1" applyFont="1" applyFill="1" applyBorder="1" applyAlignment="1">
      <alignment horizontal="center"/>
    </xf>
    <xf numFmtId="37" fontId="4" fillId="3" borderId="113" xfId="0" applyNumberFormat="1" applyFont="1" applyFill="1" applyBorder="1" applyAlignment="1">
      <alignment horizontal="center"/>
    </xf>
    <xf numFmtId="37" fontId="4" fillId="3" borderId="42" xfId="0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horizontal="right"/>
    </xf>
    <xf numFmtId="0" fontId="2" fillId="0" borderId="80" xfId="0" applyFont="1" applyBorder="1" applyAlignment="1"/>
    <xf numFmtId="0" fontId="13" fillId="0" borderId="0" xfId="0" applyNumberFormat="1" applyFont="1" applyBorder="1" applyAlignment="1"/>
    <xf numFmtId="0" fontId="4" fillId="0" borderId="0" xfId="0" applyNumberFormat="1" applyFont="1" applyFill="1" applyBorder="1" applyAlignment="1"/>
    <xf numFmtId="3" fontId="4" fillId="6" borderId="28" xfId="0" applyNumberFormat="1" applyFont="1" applyFill="1" applyBorder="1" applyAlignment="1">
      <alignment horizontal="center"/>
    </xf>
    <xf numFmtId="3" fontId="5" fillId="6" borderId="116" xfId="0" applyNumberFormat="1" applyFont="1" applyFill="1" applyBorder="1" applyAlignment="1" applyProtection="1">
      <alignment horizontal="center"/>
      <protection locked="0"/>
    </xf>
    <xf numFmtId="3" fontId="3" fillId="5" borderId="61" xfId="0" applyNumberFormat="1" applyFont="1" applyFill="1" applyBorder="1" applyAlignment="1" applyProtection="1">
      <alignment horizontal="center"/>
      <protection locked="0"/>
    </xf>
    <xf numFmtId="166" fontId="19" fillId="5" borderId="0" xfId="0" applyNumberFormat="1" applyFont="1" applyFill="1" applyBorder="1" applyAlignment="1"/>
    <xf numFmtId="166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166" fontId="19" fillId="5" borderId="50" xfId="0" applyNumberFormat="1" applyFont="1" applyFill="1" applyBorder="1" applyAlignment="1"/>
    <xf numFmtId="3" fontId="3" fillId="5" borderId="49" xfId="0" applyNumberFormat="1" applyFont="1" applyFill="1" applyBorder="1" applyAlignment="1">
      <alignment horizontal="center"/>
    </xf>
    <xf numFmtId="3" fontId="3" fillId="5" borderId="42" xfId="0" applyNumberFormat="1" applyFont="1" applyFill="1" applyBorder="1" applyAlignment="1">
      <alignment horizontal="center"/>
    </xf>
    <xf numFmtId="9" fontId="5" fillId="5" borderId="50" xfId="0" applyNumberFormat="1" applyFont="1" applyFill="1" applyBorder="1" applyAlignment="1" applyProtection="1">
      <alignment horizontal="center"/>
      <protection locked="0"/>
    </xf>
    <xf numFmtId="9" fontId="5" fillId="5" borderId="92" xfId="0" applyNumberFormat="1" applyFont="1" applyFill="1" applyBorder="1" applyAlignment="1" applyProtection="1">
      <alignment horizontal="center"/>
      <protection locked="0"/>
    </xf>
    <xf numFmtId="44" fontId="8" fillId="4" borderId="26" xfId="2" applyFont="1" applyFill="1" applyBorder="1" applyAlignment="1" applyProtection="1">
      <alignment horizontal="center"/>
      <protection locked="0"/>
    </xf>
    <xf numFmtId="44" fontId="4" fillId="0" borderId="117" xfId="2" applyFont="1" applyBorder="1" applyAlignment="1">
      <alignment horizontal="center"/>
    </xf>
    <xf numFmtId="44" fontId="8" fillId="4" borderId="28" xfId="2" applyFont="1" applyFill="1" applyBorder="1" applyAlignment="1" applyProtection="1">
      <alignment horizontal="center"/>
      <protection locked="0"/>
    </xf>
    <xf numFmtId="44" fontId="4" fillId="0" borderId="85" xfId="2" applyFont="1" applyBorder="1" applyAlignment="1">
      <alignment horizontal="center"/>
    </xf>
    <xf numFmtId="3" fontId="8" fillId="6" borderId="112" xfId="0" applyNumberFormat="1" applyFont="1" applyFill="1" applyBorder="1" applyAlignment="1" applyProtection="1">
      <alignment horizontal="center"/>
      <protection locked="0"/>
    </xf>
    <xf numFmtId="3" fontId="8" fillId="6" borderId="27" xfId="0" applyNumberFormat="1" applyFont="1" applyFill="1" applyBorder="1" applyAlignment="1" applyProtection="1">
      <alignment horizontal="center"/>
      <protection locked="0"/>
    </xf>
    <xf numFmtId="3" fontId="8" fillId="0" borderId="99" xfId="0" applyNumberFormat="1" applyFont="1" applyBorder="1" applyAlignment="1" applyProtection="1">
      <alignment horizontal="center"/>
      <protection locked="0"/>
    </xf>
    <xf numFmtId="3" fontId="4" fillId="0" borderId="109" xfId="0" applyNumberFormat="1" applyFont="1" applyBorder="1" applyAlignment="1">
      <alignment horizontal="center"/>
    </xf>
    <xf numFmtId="44" fontId="8" fillId="6" borderId="93" xfId="2" applyFont="1" applyFill="1" applyBorder="1" applyAlignment="1" applyProtection="1">
      <alignment horizontal="center"/>
      <protection locked="0"/>
    </xf>
    <xf numFmtId="44" fontId="4" fillId="0" borderId="118" xfId="2" applyFont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4" borderId="24" xfId="2" applyFont="1" applyFill="1" applyBorder="1" applyAlignment="1" applyProtection="1">
      <alignment horizontal="center"/>
      <protection locked="0"/>
    </xf>
    <xf numFmtId="44" fontId="3" fillId="0" borderId="24" xfId="2" applyFont="1" applyBorder="1" applyAlignment="1">
      <alignment horizontal="center"/>
    </xf>
    <xf numFmtId="44" fontId="6" fillId="0" borderId="28" xfId="2" applyFont="1" applyBorder="1" applyAlignment="1">
      <alignment horizontal="center"/>
    </xf>
    <xf numFmtId="44" fontId="5" fillId="4" borderId="29" xfId="2" applyFont="1" applyFill="1" applyBorder="1" applyAlignment="1" applyProtection="1">
      <alignment horizontal="center"/>
      <protection locked="0"/>
    </xf>
    <xf numFmtId="44" fontId="5" fillId="4" borderId="30" xfId="2" applyFont="1" applyFill="1" applyBorder="1" applyAlignment="1" applyProtection="1">
      <alignment horizontal="center"/>
      <protection locked="0"/>
    </xf>
    <xf numFmtId="44" fontId="5" fillId="6" borderId="30" xfId="2" applyFont="1" applyFill="1" applyBorder="1" applyAlignment="1" applyProtection="1">
      <alignment horizontal="center"/>
      <protection locked="0"/>
    </xf>
    <xf numFmtId="44" fontId="3" fillId="0" borderId="43" xfId="2" applyFont="1" applyBorder="1" applyAlignment="1">
      <alignment horizontal="center"/>
    </xf>
    <xf numFmtId="44" fontId="5" fillId="0" borderId="28" xfId="2" applyFont="1" applyBorder="1" applyAlignment="1">
      <alignment horizontal="center"/>
    </xf>
    <xf numFmtId="44" fontId="3" fillId="0" borderId="28" xfId="2" applyFont="1" applyBorder="1" applyAlignment="1">
      <alignment horizontal="center"/>
    </xf>
    <xf numFmtId="44" fontId="3" fillId="0" borderId="93" xfId="2" applyFont="1" applyBorder="1" applyAlignment="1">
      <alignment horizontal="center"/>
    </xf>
    <xf numFmtId="0" fontId="3" fillId="5" borderId="2" xfId="0" applyFont="1" applyFill="1" applyBorder="1" applyAlignment="1"/>
    <xf numFmtId="0" fontId="4" fillId="0" borderId="35" xfId="0" applyNumberFormat="1" applyFont="1" applyFill="1" applyBorder="1" applyAlignment="1"/>
    <xf numFmtId="0" fontId="3" fillId="7" borderId="8" xfId="0" applyFont="1" applyFill="1" applyBorder="1" applyAlignment="1"/>
    <xf numFmtId="3" fontId="5" fillId="7" borderId="10" xfId="0" applyNumberFormat="1" applyFont="1" applyFill="1" applyBorder="1" applyAlignment="1">
      <alignment horizontal="center"/>
    </xf>
    <xf numFmtId="3" fontId="5" fillId="0" borderId="121" xfId="0" applyNumberFormat="1" applyFont="1" applyBorder="1" applyAlignment="1" applyProtection="1">
      <alignment horizontal="center"/>
      <protection locked="0"/>
    </xf>
    <xf numFmtId="0" fontId="3" fillId="7" borderId="6" xfId="0" applyFont="1" applyFill="1" applyBorder="1" applyAlignment="1"/>
    <xf numFmtId="3" fontId="6" fillId="7" borderId="7" xfId="0" applyNumberFormat="1" applyFont="1" applyFill="1" applyBorder="1" applyAlignment="1">
      <alignment horizontal="center"/>
    </xf>
    <xf numFmtId="0" fontId="0" fillId="7" borderId="35" xfId="0" applyFill="1" applyBorder="1" applyAlignment="1"/>
    <xf numFmtId="3" fontId="5" fillId="7" borderId="120" xfId="0" applyNumberFormat="1" applyFont="1" applyFill="1" applyBorder="1" applyAlignment="1" applyProtection="1">
      <alignment horizontal="center"/>
      <protection locked="0"/>
    </xf>
    <xf numFmtId="0" fontId="4" fillId="0" borderId="8" xfId="0" applyNumberFormat="1" applyFont="1" applyFill="1" applyBorder="1" applyAlignment="1"/>
    <xf numFmtId="0" fontId="22" fillId="0" borderId="11" xfId="0" applyFont="1" applyBorder="1" applyAlignment="1">
      <alignment horizontal="center"/>
    </xf>
    <xf numFmtId="0" fontId="23" fillId="0" borderId="107" xfId="0" applyFont="1" applyFill="1" applyBorder="1" applyAlignment="1"/>
    <xf numFmtId="0" fontId="23" fillId="0" borderId="79" xfId="0" applyFont="1" applyBorder="1" applyAlignment="1"/>
    <xf numFmtId="0" fontId="4" fillId="0" borderId="79" xfId="0" applyFont="1" applyBorder="1" applyAlignment="1"/>
    <xf numFmtId="3" fontId="4" fillId="0" borderId="9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>
      <alignment horizontal="center"/>
    </xf>
    <xf numFmtId="10" fontId="13" fillId="0" borderId="50" xfId="0" applyNumberFormat="1" applyFont="1" applyFill="1" applyBorder="1" applyAlignment="1">
      <alignment horizontal="center"/>
    </xf>
    <xf numFmtId="0" fontId="3" fillId="3" borderId="69" xfId="0" applyNumberFormat="1" applyFont="1" applyFill="1" applyBorder="1" applyAlignment="1"/>
    <xf numFmtId="164" fontId="13" fillId="0" borderId="9" xfId="0" applyNumberFormat="1" applyFont="1" applyFill="1" applyBorder="1" applyAlignment="1">
      <alignment horizontal="center"/>
    </xf>
    <xf numFmtId="10" fontId="13" fillId="0" borderId="10" xfId="0" applyNumberFormat="1" applyFont="1" applyFill="1" applyBorder="1" applyAlignment="1">
      <alignment horizontal="center"/>
    </xf>
    <xf numFmtId="0" fontId="13" fillId="0" borderId="35" xfId="0" applyNumberFormat="1" applyFont="1" applyFill="1" applyBorder="1" applyAlignment="1"/>
    <xf numFmtId="0" fontId="13" fillId="0" borderId="36" xfId="0" applyFont="1" applyFill="1" applyBorder="1" applyAlignment="1"/>
    <xf numFmtId="0" fontId="13" fillId="0" borderId="36" xfId="0" applyNumberFormat="1" applyFont="1" applyFill="1" applyBorder="1" applyAlignment="1"/>
    <xf numFmtId="10" fontId="13" fillId="0" borderId="120" xfId="0" applyNumberFormat="1" applyFont="1" applyFill="1" applyBorder="1" applyAlignment="1">
      <alignment horizontal="center"/>
    </xf>
    <xf numFmtId="0" fontId="8" fillId="7" borderId="18" xfId="0" applyNumberFormat="1" applyFont="1" applyFill="1" applyBorder="1" applyAlignment="1" applyProtection="1">
      <protection locked="0"/>
    </xf>
    <xf numFmtId="0" fontId="3" fillId="5" borderId="26" xfId="0" applyNumberFormat="1" applyFont="1" applyFill="1" applyBorder="1" applyAlignment="1"/>
    <xf numFmtId="0" fontId="3" fillId="5" borderId="28" xfId="0" applyNumberFormat="1" applyFont="1" applyFill="1" applyBorder="1" applyAlignment="1"/>
    <xf numFmtId="2" fontId="4" fillId="0" borderId="122" xfId="0" applyNumberFormat="1" applyFont="1" applyBorder="1" applyAlignment="1">
      <alignment horizontal="center"/>
    </xf>
    <xf numFmtId="10" fontId="3" fillId="5" borderId="119" xfId="0" applyNumberFormat="1" applyFont="1" applyFill="1" applyBorder="1" applyAlignment="1">
      <alignment horizontal="center"/>
    </xf>
    <xf numFmtId="166" fontId="5" fillId="6" borderId="75" xfId="0" applyNumberFormat="1" applyFont="1" applyFill="1" applyBorder="1" applyAlignment="1">
      <alignment horizontal="center"/>
    </xf>
    <xf numFmtId="0" fontId="24" fillId="0" borderId="29" xfId="0" applyFont="1" applyBorder="1" applyAlignment="1">
      <alignment horizontal="center"/>
    </xf>
    <xf numFmtId="44" fontId="24" fillId="4" borderId="24" xfId="2" applyFont="1" applyFill="1" applyBorder="1" applyAlignment="1">
      <alignment horizontal="center"/>
    </xf>
    <xf numFmtId="44" fontId="24" fillId="5" borderId="0" xfId="2" applyFont="1" applyFill="1" applyAlignment="1"/>
    <xf numFmtId="166" fontId="24" fillId="4" borderId="75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0" fontId="25" fillId="5" borderId="119" xfId="0" applyFont="1" applyFill="1" applyBorder="1"/>
    <xf numFmtId="0" fontId="21" fillId="0" borderId="0" xfId="0" applyFont="1"/>
    <xf numFmtId="0" fontId="26" fillId="0" borderId="0" xfId="0" applyFont="1"/>
    <xf numFmtId="0" fontId="12" fillId="0" borderId="0" xfId="0" applyFont="1" applyBorder="1" applyAlignment="1"/>
    <xf numFmtId="0" fontId="3" fillId="0" borderId="28" xfId="0" applyFont="1" applyBorder="1" applyAlignment="1"/>
    <xf numFmtId="0" fontId="10" fillId="0" borderId="6" xfId="0" applyFont="1" applyBorder="1" applyAlignment="1"/>
    <xf numFmtId="0" fontId="2" fillId="0" borderId="4" xfId="0" applyFont="1" applyBorder="1" applyAlignment="1"/>
    <xf numFmtId="0" fontId="2" fillId="0" borderId="19" xfId="0" applyFont="1" applyBorder="1" applyAlignment="1"/>
    <xf numFmtId="0" fontId="10" fillId="0" borderId="8" xfId="0" applyFont="1" applyBorder="1" applyAlignment="1"/>
    <xf numFmtId="0" fontId="2" fillId="0" borderId="25" xfId="0" applyFont="1" applyBorder="1" applyAlignment="1"/>
    <xf numFmtId="0" fontId="10" fillId="0" borderId="35" xfId="0" applyFont="1" applyBorder="1" applyAlignment="1"/>
    <xf numFmtId="0" fontId="3" fillId="0" borderId="36" xfId="0" applyNumberFormat="1" applyFont="1" applyBorder="1"/>
    <xf numFmtId="0" fontId="2" fillId="0" borderId="36" xfId="0" applyFont="1" applyBorder="1" applyAlignment="1"/>
    <xf numFmtId="0" fontId="2" fillId="0" borderId="68" xfId="0" applyFont="1" applyBorder="1" applyAlignment="1"/>
    <xf numFmtId="3" fontId="4" fillId="0" borderId="33" xfId="0" applyNumberFormat="1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/>
    <xf numFmtId="0" fontId="1" fillId="0" borderId="0" xfId="0" applyNumberFormat="1" applyFont="1" applyFill="1" applyBorder="1" applyAlignment="1"/>
    <xf numFmtId="0" fontId="3" fillId="0" borderId="8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8" fillId="4" borderId="114" xfId="0" applyNumberFormat="1" applyFont="1" applyFill="1" applyBorder="1" applyAlignment="1" applyProtection="1">
      <alignment horizontal="center"/>
      <protection locked="0"/>
    </xf>
    <xf numFmtId="0" fontId="5" fillId="4" borderId="114" xfId="0" applyNumberFormat="1" applyFont="1" applyFill="1" applyBorder="1" applyAlignment="1" applyProtection="1">
      <alignment horizontal="center"/>
      <protection locked="0"/>
    </xf>
    <xf numFmtId="3" fontId="5" fillId="4" borderId="114" xfId="0" applyNumberFormat="1" applyFont="1" applyFill="1" applyBorder="1" applyAlignment="1" applyProtection="1">
      <alignment horizontal="center"/>
      <protection locked="0"/>
    </xf>
    <xf numFmtId="0" fontId="3" fillId="0" borderId="44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15" xfId="0" applyNumberFormat="1" applyFont="1" applyBorder="1" applyAlignment="1">
      <alignment horizontal="center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E132"/>
  <sheetViews>
    <sheetView tabSelected="1" zoomScaleSheetLayoutView="100" workbookViewId="0">
      <selection activeCell="J2" sqref="J2"/>
    </sheetView>
  </sheetViews>
  <sheetFormatPr defaultColWidth="133.86328125" defaultRowHeight="13" x14ac:dyDescent="0.6"/>
  <cols>
    <col min="1" max="1" width="3.40625" style="3" customWidth="1"/>
    <col min="2" max="2" width="24.7265625" style="3" customWidth="1"/>
    <col min="3" max="3" width="14.7265625" style="3" customWidth="1"/>
    <col min="4" max="4" width="6.7265625" style="3" customWidth="1"/>
    <col min="5" max="5" width="13.7265625" style="3" customWidth="1"/>
    <col min="6" max="6" width="10.40625" style="3" customWidth="1"/>
    <col min="7" max="7" width="7.1328125" style="3" customWidth="1"/>
    <col min="8" max="8" width="10.86328125" style="3" customWidth="1"/>
    <col min="9" max="9" width="15.86328125" style="3" customWidth="1"/>
    <col min="10" max="11" width="17.40625" style="3" customWidth="1"/>
    <col min="12" max="12" width="3.40625" style="12" customWidth="1"/>
    <col min="13" max="13" width="9.1328125" style="3" customWidth="1"/>
    <col min="14" max="14" width="15.7265625" style="3" bestFit="1" customWidth="1"/>
    <col min="15" max="15" width="3.1328125" style="3" customWidth="1"/>
    <col min="16" max="16" width="10.86328125" style="3" customWidth="1"/>
    <col min="17" max="17" width="12.86328125" style="3" bestFit="1" customWidth="1"/>
    <col min="18" max="18" width="4.1328125" style="3" customWidth="1"/>
    <col min="19" max="22" width="11.1328125" style="3" customWidth="1"/>
    <col min="23" max="23" width="9.1328125" style="3" customWidth="1"/>
    <col min="24" max="24" width="12.40625" style="3" customWidth="1"/>
    <col min="25" max="33" width="9.1328125" style="3" customWidth="1"/>
    <col min="34" max="16384" width="133.86328125" style="3"/>
  </cols>
  <sheetData>
    <row r="1" spans="1:22" x14ac:dyDescent="0.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2" ht="18" x14ac:dyDescent="0.8">
      <c r="A2" s="12"/>
      <c r="B2" s="384" t="s">
        <v>148</v>
      </c>
      <c r="C2" s="185"/>
      <c r="D2" s="185"/>
      <c r="E2" s="186"/>
      <c r="F2" s="187"/>
      <c r="G2" s="187"/>
      <c r="H2" s="185"/>
      <c r="I2" s="188"/>
      <c r="J2" s="202"/>
      <c r="K2" s="189">
        <f ca="1">TODAY()</f>
        <v>44111</v>
      </c>
      <c r="L2" s="2"/>
      <c r="M2" s="1"/>
    </row>
    <row r="3" spans="1:22" ht="18.75" thickBot="1" x14ac:dyDescent="0.95">
      <c r="A3" s="12"/>
      <c r="B3" s="384"/>
      <c r="C3" s="185"/>
      <c r="D3" s="185"/>
      <c r="E3" s="186"/>
      <c r="F3" s="187"/>
      <c r="G3" s="187"/>
      <c r="H3" s="185"/>
      <c r="I3" s="188"/>
      <c r="J3" s="202"/>
      <c r="K3" s="189"/>
      <c r="L3" s="2"/>
      <c r="M3" s="1"/>
    </row>
    <row r="4" spans="1:22" ht="18.75" thickBot="1" x14ac:dyDescent="0.95">
      <c r="A4" s="12"/>
      <c r="B4" s="371" t="s">
        <v>154</v>
      </c>
      <c r="C4" s="368"/>
      <c r="D4" s="368"/>
      <c r="E4" s="368"/>
      <c r="F4" s="369"/>
      <c r="G4" s="368"/>
      <c r="H4" s="190"/>
      <c r="I4" s="191"/>
      <c r="J4" s="191"/>
      <c r="K4" s="191"/>
      <c r="L4" s="2"/>
      <c r="N4" s="11"/>
      <c r="O4" s="11"/>
      <c r="P4" s="11"/>
      <c r="Q4" s="11"/>
      <c r="R4" s="11"/>
      <c r="S4" s="11"/>
      <c r="T4" s="11"/>
      <c r="U4" s="11"/>
      <c r="V4" s="11"/>
    </row>
    <row r="5" spans="1:22" ht="17.25" customHeight="1" thickTop="1" thickBot="1" x14ac:dyDescent="0.9">
      <c r="A5" s="12"/>
      <c r="B5" s="370"/>
      <c r="C5" s="370"/>
      <c r="D5" s="370"/>
      <c r="E5" s="370"/>
      <c r="F5" s="370"/>
      <c r="G5" s="370"/>
      <c r="H5" s="248">
        <v>29</v>
      </c>
      <c r="I5" s="5" t="s">
        <v>120</v>
      </c>
      <c r="J5" s="261" t="s">
        <v>0</v>
      </c>
      <c r="K5" s="262">
        <f>C49/C8</f>
        <v>6.6193539523809519E-2</v>
      </c>
      <c r="L5" s="6"/>
      <c r="N5" s="11"/>
      <c r="O5" s="11"/>
      <c r="P5" s="282"/>
      <c r="Q5" s="11"/>
      <c r="R5" s="11"/>
      <c r="S5" s="11"/>
      <c r="T5" s="11"/>
      <c r="U5" s="11"/>
      <c r="V5" s="11"/>
    </row>
    <row r="6" spans="1:22" ht="14.5" thickTop="1" thickBot="1" x14ac:dyDescent="0.75">
      <c r="A6" s="12"/>
      <c r="B6" s="158" t="s">
        <v>1</v>
      </c>
      <c r="C6" s="389" t="s">
        <v>153</v>
      </c>
      <c r="D6" s="390"/>
      <c r="E6" s="390"/>
      <c r="F6" s="334"/>
      <c r="G6" s="334"/>
      <c r="H6" s="391"/>
      <c r="I6" s="391"/>
      <c r="J6" s="334"/>
      <c r="K6" s="249"/>
      <c r="L6" s="6"/>
      <c r="N6" s="11"/>
      <c r="O6" s="11"/>
      <c r="P6" s="11"/>
      <c r="Q6" s="11"/>
      <c r="R6" s="11"/>
      <c r="S6" s="11"/>
      <c r="T6" s="11"/>
      <c r="U6" s="11"/>
      <c r="V6" s="11"/>
    </row>
    <row r="7" spans="1:22" ht="15" customHeight="1" thickBot="1" x14ac:dyDescent="0.75">
      <c r="A7" s="12"/>
      <c r="B7" s="159" t="s">
        <v>2</v>
      </c>
      <c r="C7" s="7"/>
      <c r="D7" s="7"/>
      <c r="E7" s="7"/>
      <c r="F7" s="8"/>
      <c r="G7" s="8"/>
      <c r="H7" s="9" t="s">
        <v>3</v>
      </c>
      <c r="I7" s="7"/>
      <c r="J7" s="7"/>
      <c r="K7" s="351"/>
      <c r="L7" s="6"/>
      <c r="N7" s="11"/>
      <c r="O7" s="11"/>
      <c r="P7" s="11"/>
      <c r="Q7" s="11"/>
      <c r="R7" s="11"/>
      <c r="S7" s="11"/>
      <c r="T7" s="11"/>
      <c r="U7" s="11"/>
      <c r="V7" s="11"/>
    </row>
    <row r="8" spans="1:22" ht="15" customHeight="1" thickBot="1" x14ac:dyDescent="0.85">
      <c r="A8" s="12"/>
      <c r="B8" s="246" t="s">
        <v>146</v>
      </c>
      <c r="C8" s="263">
        <v>5250000</v>
      </c>
      <c r="D8" s="242"/>
      <c r="E8" s="10"/>
      <c r="F8" s="338"/>
      <c r="G8" s="149"/>
      <c r="H8" s="250" t="str">
        <f>IF(P8="apartment","Purchase Price Per Unit","Purchase Price Per Unit")</f>
        <v>Purchase Price Per Unit</v>
      </c>
      <c r="I8" s="251"/>
      <c r="J8" s="251"/>
      <c r="K8" s="352">
        <f>C8/H5</f>
        <v>181034.4827586207</v>
      </c>
      <c r="N8" s="11"/>
      <c r="O8" s="11"/>
      <c r="P8" s="201"/>
      <c r="Q8" s="11"/>
      <c r="R8" s="11"/>
      <c r="S8" s="11"/>
      <c r="T8" s="11"/>
      <c r="U8" s="11"/>
      <c r="V8" s="11"/>
    </row>
    <row r="9" spans="1:22" ht="15" customHeight="1" x14ac:dyDescent="0.7">
      <c r="A9" s="12"/>
      <c r="B9" s="246" t="s">
        <v>124</v>
      </c>
      <c r="C9" s="302">
        <f>+C8*F12</f>
        <v>3674999.9999999995</v>
      </c>
      <c r="D9" s="243"/>
      <c r="E9" s="339" t="s">
        <v>4</v>
      </c>
      <c r="F9" s="340">
        <f>C8*0.2</f>
        <v>1050000</v>
      </c>
      <c r="G9" s="145"/>
      <c r="H9" s="250" t="s">
        <v>5</v>
      </c>
      <c r="I9" s="251"/>
      <c r="J9" s="251"/>
      <c r="K9" s="353">
        <f>K5</f>
        <v>6.6193539523809519E-2</v>
      </c>
      <c r="N9" s="11"/>
      <c r="O9" s="11"/>
      <c r="P9" s="11"/>
      <c r="Q9" s="11"/>
      <c r="R9" s="11"/>
      <c r="S9" s="11"/>
      <c r="T9" s="11"/>
      <c r="U9" s="11"/>
      <c r="V9" s="11"/>
    </row>
    <row r="10" spans="1:22" ht="15" customHeight="1" x14ac:dyDescent="0.7">
      <c r="A10" s="12"/>
      <c r="B10" s="247" t="s">
        <v>147</v>
      </c>
      <c r="C10" s="260">
        <f>SUM(C8*0.3)</f>
        <v>1575000</v>
      </c>
      <c r="D10" s="243"/>
      <c r="E10" s="336" t="s">
        <v>6</v>
      </c>
      <c r="F10" s="337">
        <f>+C8+C12-F9</f>
        <v>4260000</v>
      </c>
      <c r="G10" s="143"/>
      <c r="H10" s="252" t="s">
        <v>7</v>
      </c>
      <c r="I10" s="253"/>
      <c r="J10" s="251"/>
      <c r="K10" s="353">
        <f>C82</f>
        <v>7.1845304881237262E-2</v>
      </c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5" customHeight="1" thickBot="1" x14ac:dyDescent="0.85">
      <c r="A11" s="12"/>
      <c r="B11" s="247" t="s">
        <v>8</v>
      </c>
      <c r="C11" s="302">
        <f>SUM(C9*0.025)</f>
        <v>91875</v>
      </c>
      <c r="D11" s="243"/>
      <c r="E11" s="341" t="s">
        <v>149</v>
      </c>
      <c r="F11" s="342">
        <f>C29</f>
        <v>70000</v>
      </c>
      <c r="G11" s="39"/>
      <c r="H11" s="250" t="s">
        <v>9</v>
      </c>
      <c r="I11" s="251"/>
      <c r="J11" s="251"/>
      <c r="K11" s="353">
        <f>AVERAGE(C82:K82)</f>
        <v>7.8274674014848181E-2</v>
      </c>
      <c r="N11" s="271"/>
      <c r="O11" s="271"/>
      <c r="P11" s="283"/>
      <c r="Q11" s="271"/>
      <c r="R11" s="271"/>
      <c r="S11" s="271"/>
      <c r="T11" s="11"/>
      <c r="U11" s="11"/>
      <c r="V11" s="11"/>
    </row>
    <row r="12" spans="1:22" ht="15" customHeight="1" thickBot="1" x14ac:dyDescent="0.85">
      <c r="A12" s="12"/>
      <c r="B12" s="247" t="s">
        <v>155</v>
      </c>
      <c r="C12" s="264">
        <v>60000</v>
      </c>
      <c r="D12" s="385"/>
      <c r="E12" s="343" t="s">
        <v>10</v>
      </c>
      <c r="F12" s="362">
        <v>0.7</v>
      </c>
      <c r="G12" s="146"/>
      <c r="H12" s="250" t="s">
        <v>11</v>
      </c>
      <c r="I12" s="251"/>
      <c r="J12" s="251"/>
      <c r="K12" s="353">
        <f>N99</f>
        <v>0.14033127098245157</v>
      </c>
      <c r="N12" s="284"/>
      <c r="O12" s="284"/>
      <c r="P12" s="11"/>
      <c r="Q12" s="284"/>
      <c r="R12" s="284"/>
      <c r="S12" s="285"/>
      <c r="T12" s="11"/>
      <c r="U12" s="11"/>
      <c r="V12" s="11"/>
    </row>
    <row r="13" spans="1:22" ht="15" customHeight="1" thickBot="1" x14ac:dyDescent="0.85">
      <c r="A13" s="12"/>
      <c r="B13" s="246" t="s">
        <v>12</v>
      </c>
      <c r="C13" s="383">
        <f>SUM(C10:C12)</f>
        <v>1726875</v>
      </c>
      <c r="D13" s="245"/>
      <c r="E13" s="335" t="s">
        <v>150</v>
      </c>
      <c r="F13" s="361">
        <f>C49/C50</f>
        <v>1.5552421046807074</v>
      </c>
      <c r="G13" s="147"/>
      <c r="H13" s="354"/>
      <c r="I13" s="355"/>
      <c r="J13" s="356"/>
      <c r="K13" s="357"/>
      <c r="N13" s="284"/>
      <c r="O13" s="284"/>
      <c r="P13" s="11"/>
      <c r="Q13" s="284"/>
      <c r="R13" s="284"/>
      <c r="S13" s="285"/>
      <c r="T13" s="11"/>
      <c r="U13" s="11"/>
      <c r="V13" s="11"/>
    </row>
    <row r="14" spans="1:22" ht="15" customHeight="1" thickBot="1" x14ac:dyDescent="0.85">
      <c r="A14" s="12"/>
      <c r="B14" s="246"/>
      <c r="C14" s="348"/>
      <c r="D14" s="245"/>
      <c r="E14" s="301"/>
      <c r="F14" s="349"/>
      <c r="G14" s="147"/>
      <c r="H14" s="251"/>
      <c r="I14" s="253"/>
      <c r="J14" s="251"/>
      <c r="K14" s="350"/>
      <c r="N14" s="284"/>
      <c r="O14" s="284"/>
      <c r="P14" s="11"/>
      <c r="Q14" s="284"/>
      <c r="R14" s="284"/>
      <c r="S14" s="285"/>
      <c r="T14" s="11"/>
      <c r="U14" s="11"/>
      <c r="V14" s="11"/>
    </row>
    <row r="15" spans="1:22" ht="15" customHeight="1" x14ac:dyDescent="0.6">
      <c r="A15" s="12"/>
      <c r="B15" s="345" t="s">
        <v>151</v>
      </c>
      <c r="C15" s="224" t="s">
        <v>14</v>
      </c>
      <c r="D15" s="195" t="s">
        <v>115</v>
      </c>
      <c r="E15" s="344" t="s">
        <v>15</v>
      </c>
      <c r="F15" s="13" t="s">
        <v>16</v>
      </c>
      <c r="G15" s="198" t="s">
        <v>118</v>
      </c>
      <c r="H15" s="13" t="s">
        <v>17</v>
      </c>
      <c r="I15" s="13" t="s">
        <v>18</v>
      </c>
      <c r="J15" s="14" t="s">
        <v>19</v>
      </c>
      <c r="K15" s="169" t="s">
        <v>20</v>
      </c>
      <c r="L15" s="6"/>
      <c r="N15" s="284"/>
      <c r="O15" s="284"/>
      <c r="P15" s="11"/>
      <c r="Q15" s="284"/>
      <c r="R15" s="284"/>
      <c r="S15" s="285"/>
      <c r="T15" s="11"/>
      <c r="U15" s="11"/>
      <c r="V15" s="11"/>
    </row>
    <row r="16" spans="1:22" ht="15" customHeight="1" x14ac:dyDescent="0.6">
      <c r="A16" s="12"/>
      <c r="B16" s="346"/>
      <c r="C16" s="225" t="s">
        <v>21</v>
      </c>
      <c r="D16" s="196" t="s">
        <v>116</v>
      </c>
      <c r="E16" s="16" t="s">
        <v>22</v>
      </c>
      <c r="F16" s="16" t="s">
        <v>23</v>
      </c>
      <c r="G16" s="199" t="s">
        <v>119</v>
      </c>
      <c r="H16" s="16" t="s">
        <v>24</v>
      </c>
      <c r="I16" s="16" t="s">
        <v>25</v>
      </c>
      <c r="J16" s="17" t="s">
        <v>26</v>
      </c>
      <c r="K16" s="170" t="s">
        <v>27</v>
      </c>
      <c r="L16" s="18" t="s">
        <v>28</v>
      </c>
      <c r="N16" s="284"/>
      <c r="O16" s="284"/>
      <c r="P16" s="11"/>
      <c r="Q16" s="284"/>
      <c r="R16" s="284"/>
      <c r="S16" s="285"/>
      <c r="T16" s="11"/>
      <c r="U16" s="11"/>
      <c r="V16" s="11"/>
    </row>
    <row r="17" spans="1:22" ht="15" customHeight="1" thickBot="1" x14ac:dyDescent="0.75">
      <c r="A17" s="12"/>
      <c r="B17" s="347" t="s">
        <v>137</v>
      </c>
      <c r="C17" s="303">
        <f>+C9</f>
        <v>3674999.9999999995</v>
      </c>
      <c r="D17" s="197" t="s">
        <v>117</v>
      </c>
      <c r="E17" s="200">
        <v>30</v>
      </c>
      <c r="F17" s="200">
        <v>12</v>
      </c>
      <c r="G17" s="200">
        <v>10</v>
      </c>
      <c r="H17" s="254">
        <v>4.4999999999999998E-2</v>
      </c>
      <c r="I17" s="19">
        <f>IF(C17&gt;0,IF(D17="y",C17*H17/12,PMT(H17/12,E17*F17,-C17))," ")</f>
        <v>18620.685136101114</v>
      </c>
      <c r="J17" s="20">
        <f>I17*F17</f>
        <v>223448.22163321337</v>
      </c>
      <c r="K17" s="171">
        <f>IF(C17&gt;0,C8*0.015," ")</f>
        <v>78750</v>
      </c>
      <c r="L17" s="6"/>
      <c r="N17" s="284"/>
      <c r="O17" s="284"/>
      <c r="P17" s="11"/>
      <c r="Q17" s="284"/>
      <c r="R17" s="284"/>
      <c r="S17" s="285"/>
      <c r="T17" s="11"/>
      <c r="U17" s="11"/>
      <c r="V17" s="11"/>
    </row>
    <row r="18" spans="1:22" ht="15" customHeight="1" x14ac:dyDescent="0.6">
      <c r="A18" s="12"/>
      <c r="B18" s="299"/>
      <c r="C18" s="144"/>
      <c r="D18" s="144"/>
      <c r="E18" s="144"/>
      <c r="F18" s="144"/>
      <c r="G18" s="144"/>
      <c r="H18" s="144"/>
      <c r="I18" s="144"/>
      <c r="J18" s="144"/>
      <c r="K18" s="172"/>
      <c r="L18" s="6"/>
      <c r="N18" s="284"/>
      <c r="O18" s="284"/>
      <c r="P18" s="11"/>
      <c r="Q18" s="284"/>
      <c r="R18" s="284"/>
      <c r="S18" s="285"/>
      <c r="T18" s="11"/>
      <c r="U18" s="11"/>
      <c r="V18" s="11"/>
    </row>
    <row r="19" spans="1:22" ht="15" customHeight="1" thickBot="1" x14ac:dyDescent="0.75">
      <c r="A19" s="12"/>
      <c r="B19" s="162"/>
      <c r="C19" s="358"/>
      <c r="D19" s="22"/>
      <c r="E19" s="23"/>
      <c r="F19" s="23"/>
      <c r="G19" s="23"/>
      <c r="H19" s="23"/>
      <c r="I19" s="23"/>
      <c r="J19" s="23"/>
      <c r="K19" s="173"/>
      <c r="L19" s="6"/>
      <c r="N19" s="284"/>
      <c r="O19" s="284"/>
      <c r="P19" s="11"/>
      <c r="Q19" s="284"/>
      <c r="R19" s="284"/>
      <c r="S19" s="285"/>
      <c r="T19" s="11"/>
      <c r="U19" s="11"/>
      <c r="V19" s="11"/>
    </row>
    <row r="20" spans="1:22" ht="15" customHeight="1" thickBot="1" x14ac:dyDescent="0.75">
      <c r="A20" s="12"/>
      <c r="B20" s="163"/>
      <c r="C20" s="24" t="s">
        <v>29</v>
      </c>
      <c r="D20" s="24"/>
      <c r="E20" s="8"/>
      <c r="F20" s="25"/>
      <c r="G20" s="8"/>
      <c r="H20" s="26"/>
      <c r="I20" s="7"/>
      <c r="J20" s="27" t="s">
        <v>30</v>
      </c>
      <c r="K20" s="174"/>
      <c r="L20" s="6"/>
      <c r="N20" s="284"/>
      <c r="O20" s="284"/>
      <c r="P20" s="11"/>
      <c r="Q20" s="284"/>
      <c r="R20" s="284"/>
      <c r="S20" s="285"/>
      <c r="T20" s="11"/>
      <c r="U20" s="11"/>
      <c r="V20" s="11"/>
    </row>
    <row r="21" spans="1:22" ht="15" customHeight="1" thickBot="1" x14ac:dyDescent="0.75">
      <c r="A21" s="12"/>
      <c r="B21" s="163"/>
      <c r="C21" s="28" t="s">
        <v>31</v>
      </c>
      <c r="D21" s="206"/>
      <c r="E21" s="29" t="s">
        <v>32</v>
      </c>
      <c r="F21" s="30" t="str">
        <f>IF(J2="Apartment","Per Unit","Per SF")</f>
        <v>Per SF</v>
      </c>
      <c r="G21" s="148"/>
      <c r="H21" s="31" t="s">
        <v>33</v>
      </c>
      <c r="I21" s="32" t="s">
        <v>34</v>
      </c>
      <c r="J21" s="33" t="s">
        <v>122</v>
      </c>
      <c r="K21" s="175" t="s">
        <v>35</v>
      </c>
      <c r="L21" s="6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customHeight="1" x14ac:dyDescent="0.6">
      <c r="A22" s="12"/>
      <c r="B22" s="164" t="s">
        <v>36</v>
      </c>
      <c r="C22" s="323">
        <f>+K27*12</f>
        <v>547200</v>
      </c>
      <c r="D22" s="208"/>
      <c r="E22" s="151">
        <f>C22/$C$27</f>
        <v>1.0033272804265829</v>
      </c>
      <c r="F22" s="34">
        <f>C22/$K$40</f>
        <v>18868.96551724138</v>
      </c>
      <c r="G22" s="49"/>
      <c r="H22" s="265">
        <v>20</v>
      </c>
      <c r="I22" s="359" t="s">
        <v>141</v>
      </c>
      <c r="J22" s="313">
        <v>800</v>
      </c>
      <c r="K22" s="314">
        <f t="shared" ref="K22:K26" si="0">J22*H22</f>
        <v>16000</v>
      </c>
      <c r="L22" s="6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customHeight="1" x14ac:dyDescent="0.6">
      <c r="A23" s="12"/>
      <c r="B23" s="161" t="s">
        <v>140</v>
      </c>
      <c r="C23" s="324">
        <v>28153</v>
      </c>
      <c r="D23" s="207"/>
      <c r="E23" s="152">
        <f>C23/$C$27</f>
        <v>5.1620381808935648E-2</v>
      </c>
      <c r="F23" s="34">
        <f t="shared" ref="F23:F51" si="1">C23/$K$40</f>
        <v>970.79310344827582</v>
      </c>
      <c r="G23" s="49"/>
      <c r="H23" s="266">
        <v>3</v>
      </c>
      <c r="I23" s="360" t="s">
        <v>142</v>
      </c>
      <c r="J23" s="315">
        <v>800</v>
      </c>
      <c r="K23" s="316">
        <f t="shared" si="0"/>
        <v>2400</v>
      </c>
      <c r="L23" s="6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customHeight="1" x14ac:dyDescent="0.6">
      <c r="A24" s="12"/>
      <c r="B24" s="161" t="s">
        <v>37</v>
      </c>
      <c r="C24" s="325">
        <f>SUM(C22:C23)</f>
        <v>575353</v>
      </c>
      <c r="D24" s="208"/>
      <c r="E24" s="152">
        <f>C24/$C$27</f>
        <v>1.0549476622355185</v>
      </c>
      <c r="F24" s="34">
        <f t="shared" si="1"/>
        <v>19839.758620689656</v>
      </c>
      <c r="G24" s="49"/>
      <c r="H24" s="266">
        <v>3</v>
      </c>
      <c r="I24" s="360" t="s">
        <v>143</v>
      </c>
      <c r="J24" s="315">
        <v>1000</v>
      </c>
      <c r="K24" s="316">
        <f t="shared" si="0"/>
        <v>3000</v>
      </c>
      <c r="L24" s="6"/>
      <c r="N24" s="11"/>
      <c r="O24" s="11"/>
      <c r="P24" s="11"/>
      <c r="Q24" s="11"/>
      <c r="R24" s="11"/>
      <c r="S24" s="286"/>
      <c r="T24" s="56"/>
      <c r="U24" s="276"/>
      <c r="V24" s="11"/>
    </row>
    <row r="25" spans="1:22" ht="15" customHeight="1" x14ac:dyDescent="0.6">
      <c r="A25" s="12"/>
      <c r="B25" s="161" t="s">
        <v>38</v>
      </c>
      <c r="C25" s="365">
        <f>SUM(C24*0.05)</f>
        <v>28767.65</v>
      </c>
      <c r="D25" s="209"/>
      <c r="E25" s="367">
        <v>0.05</v>
      </c>
      <c r="F25" s="34">
        <f>+C25/$K$40*-1</f>
        <v>-991.98793103448281</v>
      </c>
      <c r="G25" s="49"/>
      <c r="H25" s="266">
        <v>2</v>
      </c>
      <c r="I25" s="360" t="s">
        <v>144</v>
      </c>
      <c r="J25" s="315">
        <v>700</v>
      </c>
      <c r="K25" s="316">
        <f t="shared" si="0"/>
        <v>1400</v>
      </c>
      <c r="L25" s="6"/>
      <c r="N25" s="11"/>
      <c r="O25" s="11"/>
      <c r="P25" s="11"/>
      <c r="Q25" s="11"/>
      <c r="R25" s="11"/>
      <c r="S25" s="286"/>
      <c r="T25" s="11"/>
      <c r="U25" s="11"/>
      <c r="V25" s="11"/>
    </row>
    <row r="26" spans="1:22" ht="15" customHeight="1" x14ac:dyDescent="0.6">
      <c r="A26" s="12"/>
      <c r="B26" s="165" t="s">
        <v>39</v>
      </c>
      <c r="C26" s="366">
        <v>1200</v>
      </c>
      <c r="D26" s="209"/>
      <c r="E26" s="152"/>
      <c r="F26" s="34">
        <f>C26/$K$40*-1</f>
        <v>-41.379310344827587</v>
      </c>
      <c r="G26" s="49"/>
      <c r="H26" s="266">
        <v>1</v>
      </c>
      <c r="I26" s="360" t="s">
        <v>145</v>
      </c>
      <c r="J26" s="315">
        <v>500</v>
      </c>
      <c r="K26" s="316">
        <f t="shared" si="0"/>
        <v>500</v>
      </c>
      <c r="L26" s="6"/>
      <c r="N26" s="11"/>
      <c r="O26" s="11"/>
      <c r="P26" s="11"/>
      <c r="Q26" s="11"/>
      <c r="R26" s="11"/>
      <c r="S26" s="286"/>
      <c r="T26" s="11"/>
      <c r="U26" s="11"/>
      <c r="V26" s="11"/>
    </row>
    <row r="27" spans="1:22" ht="15" customHeight="1" thickBot="1" x14ac:dyDescent="0.75">
      <c r="A27" s="12"/>
      <c r="B27" s="166" t="s">
        <v>40</v>
      </c>
      <c r="C27" s="326">
        <f>SUM(C24-C25-C26)</f>
        <v>545385.35</v>
      </c>
      <c r="D27" s="210"/>
      <c r="E27" s="203"/>
      <c r="F27" s="204">
        <f t="shared" si="1"/>
        <v>18806.391379310346</v>
      </c>
      <c r="G27" s="49"/>
      <c r="H27" s="317" t="s">
        <v>35</v>
      </c>
      <c r="J27" s="321">
        <f>SUM(J22:J26)</f>
        <v>3800</v>
      </c>
      <c r="K27" s="322">
        <f>+J27*12</f>
        <v>45600</v>
      </c>
      <c r="L27" s="6"/>
      <c r="N27" s="11"/>
      <c r="O27" s="11"/>
      <c r="P27" s="11"/>
      <c r="Q27" s="11"/>
      <c r="R27" s="11"/>
      <c r="S27" s="286"/>
      <c r="T27" s="56"/>
      <c r="U27" s="276"/>
      <c r="V27" s="11"/>
    </row>
    <row r="28" spans="1:22" ht="15" customHeight="1" thickTop="1" x14ac:dyDescent="0.6">
      <c r="A28" s="12"/>
      <c r="B28" s="238"/>
      <c r="C28" s="364"/>
      <c r="D28" s="239"/>
      <c r="E28" s="203"/>
      <c r="F28" s="204"/>
      <c r="G28" s="49"/>
      <c r="H28" s="318">
        <f>SUM(H22:H26)</f>
        <v>29</v>
      </c>
      <c r="I28" s="36"/>
      <c r="J28" s="319"/>
      <c r="K28" s="320"/>
      <c r="L28" s="6"/>
      <c r="N28" s="11"/>
      <c r="O28" s="11"/>
      <c r="P28" s="11"/>
      <c r="Q28" s="11"/>
      <c r="R28" s="11"/>
      <c r="S28" s="287"/>
      <c r="T28" s="56"/>
      <c r="U28" s="276"/>
      <c r="V28" s="11"/>
    </row>
    <row r="29" spans="1:22" ht="15" customHeight="1" x14ac:dyDescent="0.6">
      <c r="A29" s="12"/>
      <c r="B29" s="38" t="s">
        <v>125</v>
      </c>
      <c r="C29" s="327">
        <v>70000</v>
      </c>
      <c r="D29" s="211"/>
      <c r="E29" s="152">
        <f>C29/$C$27</f>
        <v>0.1283496155516462</v>
      </c>
      <c r="F29" s="34">
        <f t="shared" si="1"/>
        <v>2413.7931034482758</v>
      </c>
      <c r="G29" s="49"/>
      <c r="H29" s="35"/>
      <c r="I29" s="36"/>
      <c r="J29" s="37"/>
      <c r="K29" s="176">
        <f>J29*H29</f>
        <v>0</v>
      </c>
      <c r="L29" s="6"/>
      <c r="N29" s="11"/>
      <c r="O29" s="11"/>
      <c r="P29" s="11"/>
      <c r="Q29" s="11"/>
      <c r="R29" s="11"/>
      <c r="S29" s="288"/>
      <c r="T29" s="276"/>
      <c r="U29" s="289"/>
      <c r="V29" s="11"/>
    </row>
    <row r="30" spans="1:22" ht="15" customHeight="1" x14ac:dyDescent="0.7">
      <c r="A30" s="12"/>
      <c r="B30" s="38" t="s">
        <v>41</v>
      </c>
      <c r="C30" s="328">
        <v>18000</v>
      </c>
      <c r="D30" s="211"/>
      <c r="E30" s="152">
        <f t="shared" ref="E30:E43" si="2">C30/$C$27</f>
        <v>3.3004186856137596E-2</v>
      </c>
      <c r="F30" s="34">
        <f t="shared" si="1"/>
        <v>620.68965517241384</v>
      </c>
      <c r="G30" s="49"/>
      <c r="H30" s="35"/>
      <c r="I30" s="36"/>
      <c r="J30" s="37"/>
      <c r="K30" s="176">
        <f>J30</f>
        <v>0</v>
      </c>
      <c r="L30" s="6"/>
      <c r="N30" s="64"/>
      <c r="O30" s="300"/>
      <c r="P30" s="11"/>
      <c r="Q30" s="183"/>
      <c r="R30" s="11"/>
      <c r="S30" s="288"/>
      <c r="T30" s="11"/>
      <c r="U30" s="11"/>
      <c r="V30" s="11"/>
    </row>
    <row r="31" spans="1:22" ht="15" customHeight="1" x14ac:dyDescent="0.6">
      <c r="A31" s="12"/>
      <c r="B31" s="274" t="s">
        <v>139</v>
      </c>
      <c r="C31" s="328">
        <v>34000</v>
      </c>
      <c r="D31" s="211"/>
      <c r="E31" s="152">
        <f t="shared" si="2"/>
        <v>6.2341241839371009E-2</v>
      </c>
      <c r="F31" s="34">
        <f>C31/$K$40</f>
        <v>1172.4137931034484</v>
      </c>
      <c r="G31" s="49"/>
      <c r="H31" s="35"/>
      <c r="I31" s="36"/>
      <c r="J31" s="37"/>
      <c r="K31" s="176">
        <f>J31</f>
        <v>0</v>
      </c>
      <c r="L31" s="6"/>
      <c r="R31" s="11"/>
      <c r="S31" s="288"/>
      <c r="T31" s="11"/>
      <c r="U31" s="11"/>
      <c r="V31" s="11"/>
    </row>
    <row r="32" spans="1:22" ht="15" customHeight="1" x14ac:dyDescent="0.6">
      <c r="A32" s="12"/>
      <c r="B32" s="38" t="s">
        <v>138</v>
      </c>
      <c r="C32" s="328">
        <v>1500</v>
      </c>
      <c r="D32" s="211"/>
      <c r="E32" s="152">
        <f>SUM(C32/C27)</f>
        <v>2.7503489046781329E-3</v>
      </c>
      <c r="F32" s="34">
        <f t="shared" si="1"/>
        <v>51.724137931034484</v>
      </c>
      <c r="G32" s="49"/>
      <c r="H32" s="35"/>
      <c r="I32" s="36"/>
      <c r="J32" s="37"/>
      <c r="K32" s="176">
        <f>J32</f>
        <v>0</v>
      </c>
      <c r="L32" s="6"/>
      <c r="R32" s="11"/>
      <c r="S32" s="288"/>
      <c r="T32" s="11"/>
      <c r="U32" s="11"/>
      <c r="V32" s="11"/>
    </row>
    <row r="33" spans="1:22" ht="15" customHeight="1" thickBot="1" x14ac:dyDescent="0.75">
      <c r="A33" s="12"/>
      <c r="B33" s="38" t="s">
        <v>50</v>
      </c>
      <c r="C33" s="328">
        <f>+C27*0.05</f>
        <v>27269.267500000002</v>
      </c>
      <c r="D33" s="211"/>
      <c r="E33" s="152">
        <f>SUM(C33/C27)</f>
        <v>0.05</v>
      </c>
      <c r="F33" s="34">
        <f t="shared" si="1"/>
        <v>940.31956896551731</v>
      </c>
      <c r="G33" s="49"/>
      <c r="H33" s="40"/>
      <c r="I33" s="41"/>
      <c r="J33" s="42"/>
      <c r="K33" s="177">
        <f>J33</f>
        <v>0</v>
      </c>
      <c r="L33" s="6"/>
      <c r="N33" s="15"/>
      <c r="O33" s="386"/>
      <c r="P33" s="387"/>
      <c r="Q33" s="387"/>
      <c r="R33" s="273"/>
      <c r="S33" s="287"/>
      <c r="T33" s="11"/>
      <c r="U33" s="11"/>
      <c r="V33" s="11"/>
    </row>
    <row r="34" spans="1:22" ht="15" customHeight="1" x14ac:dyDescent="0.6">
      <c r="A34" s="12"/>
      <c r="B34" s="38" t="s">
        <v>126</v>
      </c>
      <c r="C34" s="328">
        <v>3600</v>
      </c>
      <c r="D34" s="211"/>
      <c r="E34" s="152">
        <f>SUM(C34/C27)</f>
        <v>6.6008373712275184E-3</v>
      </c>
      <c r="F34" s="34">
        <f t="shared" si="1"/>
        <v>124.13793103448276</v>
      </c>
      <c r="G34" s="49"/>
      <c r="H34" s="43"/>
      <c r="I34" s="44"/>
      <c r="J34" s="45"/>
      <c r="K34" s="178"/>
      <c r="L34" s="6"/>
      <c r="N34" s="11"/>
      <c r="O34" s="386"/>
      <c r="P34" s="387"/>
      <c r="Q34" s="387"/>
      <c r="R34" s="388"/>
      <c r="S34" s="277"/>
      <c r="T34" s="56"/>
      <c r="U34" s="276"/>
      <c r="V34" s="11"/>
    </row>
    <row r="35" spans="1:22" ht="15" customHeight="1" thickBot="1" x14ac:dyDescent="0.75">
      <c r="A35" s="12"/>
      <c r="B35" s="38" t="s">
        <v>127</v>
      </c>
      <c r="C35" s="328">
        <v>14000</v>
      </c>
      <c r="D35" s="211"/>
      <c r="E35" s="152">
        <f t="shared" si="2"/>
        <v>2.566992311032924E-2</v>
      </c>
      <c r="F35" s="34">
        <f t="shared" si="1"/>
        <v>482.75862068965517</v>
      </c>
      <c r="G35" s="49"/>
      <c r="H35" s="46"/>
      <c r="I35" s="47"/>
      <c r="J35" s="48"/>
      <c r="K35" s="179"/>
      <c r="L35" s="6"/>
      <c r="N35" s="11"/>
      <c r="O35" s="244"/>
      <c r="P35" s="11"/>
      <c r="Q35" s="11"/>
      <c r="R35" s="11"/>
      <c r="S35" s="277"/>
      <c r="T35" s="290"/>
      <c r="U35" s="276"/>
      <c r="V35" s="11"/>
    </row>
    <row r="36" spans="1:22" ht="15" customHeight="1" x14ac:dyDescent="0.6">
      <c r="A36" s="12"/>
      <c r="B36" s="38" t="s">
        <v>128</v>
      </c>
      <c r="C36" s="328">
        <v>16000</v>
      </c>
      <c r="D36" s="211"/>
      <c r="E36" s="152">
        <v>6.0000000000000001E-3</v>
      </c>
      <c r="F36" s="49">
        <f t="shared" si="1"/>
        <v>551.72413793103453</v>
      </c>
      <c r="G36" s="150"/>
      <c r="H36" s="395" t="s">
        <v>42</v>
      </c>
      <c r="I36" s="396"/>
      <c r="J36" s="396"/>
      <c r="K36" s="397"/>
      <c r="L36" s="6"/>
      <c r="N36" s="241"/>
      <c r="O36" s="301"/>
      <c r="P36" s="240"/>
      <c r="Q36" s="11"/>
      <c r="R36" s="11"/>
      <c r="S36" s="277"/>
      <c r="T36" s="290"/>
      <c r="U36" s="276"/>
      <c r="V36" s="11"/>
    </row>
    <row r="37" spans="1:22" ht="15" customHeight="1" x14ac:dyDescent="0.6">
      <c r="A37" s="12"/>
      <c r="B37" s="38" t="s">
        <v>129</v>
      </c>
      <c r="C37" s="328">
        <v>2500</v>
      </c>
      <c r="D37" s="211"/>
      <c r="E37" s="152">
        <f>SUM(C37/C27)</f>
        <v>4.5839148411302216E-3</v>
      </c>
      <c r="F37" s="49">
        <f t="shared" si="1"/>
        <v>86.206896551724142</v>
      </c>
      <c r="G37" s="150"/>
      <c r="H37" s="50" t="s">
        <v>43</v>
      </c>
      <c r="I37" s="51"/>
      <c r="J37" s="52"/>
      <c r="K37" s="256">
        <v>0.03</v>
      </c>
      <c r="L37" s="6"/>
      <c r="M37" s="228"/>
      <c r="N37" s="11"/>
      <c r="O37" s="11"/>
      <c r="P37" s="11"/>
      <c r="Q37" s="11"/>
      <c r="R37" s="11"/>
      <c r="S37" s="277"/>
      <c r="T37" s="56"/>
      <c r="U37" s="276"/>
      <c r="V37" s="11"/>
    </row>
    <row r="38" spans="1:22" ht="15" customHeight="1" x14ac:dyDescent="0.6">
      <c r="A38" s="12"/>
      <c r="B38" s="38" t="s">
        <v>130</v>
      </c>
      <c r="C38" s="328">
        <v>1200</v>
      </c>
      <c r="D38" s="211"/>
      <c r="E38" s="152">
        <f>SUM(C38/C27)</f>
        <v>2.2002791237425061E-3</v>
      </c>
      <c r="F38" s="49">
        <f t="shared" si="1"/>
        <v>41.379310344827587</v>
      </c>
      <c r="G38" s="150"/>
      <c r="H38" s="53" t="s">
        <v>44</v>
      </c>
      <c r="I38" s="54"/>
      <c r="J38" s="55"/>
      <c r="K38" s="255">
        <v>0.03</v>
      </c>
      <c r="L38" s="6"/>
      <c r="M38" s="229"/>
      <c r="N38" s="277"/>
      <c r="O38" s="277"/>
      <c r="P38" s="56"/>
      <c r="Q38" s="276"/>
      <c r="R38" s="276"/>
      <c r="S38" s="277"/>
      <c r="T38" s="56"/>
      <c r="U38" s="276"/>
      <c r="V38" s="11"/>
    </row>
    <row r="39" spans="1:22" ht="15" customHeight="1" x14ac:dyDescent="0.6">
      <c r="A39" s="12"/>
      <c r="B39" s="38" t="s">
        <v>131</v>
      </c>
      <c r="C39" s="328">
        <v>50</v>
      </c>
      <c r="D39" s="211"/>
      <c r="E39" s="152">
        <f t="shared" si="2"/>
        <v>9.1678296822604431E-5</v>
      </c>
      <c r="F39" s="49">
        <f t="shared" si="1"/>
        <v>1.7241379310344827</v>
      </c>
      <c r="G39" s="150"/>
      <c r="H39" s="57" t="s">
        <v>45</v>
      </c>
      <c r="I39" s="58"/>
      <c r="J39" s="59"/>
      <c r="K39" s="180">
        <v>0</v>
      </c>
      <c r="L39" s="6"/>
      <c r="M39" s="230"/>
      <c r="N39" s="291"/>
      <c r="O39" s="291"/>
      <c r="P39" s="56"/>
      <c r="Q39" s="276"/>
      <c r="R39" s="276"/>
      <c r="S39" s="277"/>
      <c r="T39" s="56"/>
      <c r="U39" s="276"/>
      <c r="V39" s="11"/>
    </row>
    <row r="40" spans="1:22" ht="15" customHeight="1" x14ac:dyDescent="0.6">
      <c r="A40" s="12"/>
      <c r="B40" s="38">
        <v>0</v>
      </c>
      <c r="C40" s="328"/>
      <c r="D40" s="211"/>
      <c r="E40" s="152">
        <f t="shared" si="2"/>
        <v>0</v>
      </c>
      <c r="F40" s="49">
        <f t="shared" si="1"/>
        <v>0</v>
      </c>
      <c r="G40" s="150"/>
      <c r="H40" s="60" t="str">
        <f>IF(J2="Apartment","Number of Units","SF of NRA")</f>
        <v>SF of NRA</v>
      </c>
      <c r="I40" s="11"/>
      <c r="J40" s="39"/>
      <c r="K40" s="272">
        <f>+H5</f>
        <v>29</v>
      </c>
      <c r="L40" s="6"/>
      <c r="M40" s="231"/>
      <c r="N40" s="277"/>
      <c r="O40" s="277"/>
      <c r="P40" s="292"/>
      <c r="Q40" s="293"/>
      <c r="R40" s="293"/>
      <c r="S40" s="277"/>
      <c r="T40" s="56"/>
      <c r="U40" s="276"/>
      <c r="V40" s="11"/>
    </row>
    <row r="41" spans="1:22" ht="15" customHeight="1" x14ac:dyDescent="0.6">
      <c r="A41" s="12"/>
      <c r="B41" s="38" t="s">
        <v>132</v>
      </c>
      <c r="C41" s="328">
        <v>500</v>
      </c>
      <c r="D41" s="211"/>
      <c r="E41" s="152">
        <f t="shared" si="2"/>
        <v>9.1678296822604425E-4</v>
      </c>
      <c r="F41" s="49">
        <f t="shared" si="1"/>
        <v>17.241379310344829</v>
      </c>
      <c r="G41" s="150"/>
      <c r="H41" s="60" t="s">
        <v>46</v>
      </c>
      <c r="I41" s="11"/>
      <c r="J41" s="39"/>
      <c r="K41" s="272">
        <v>7</v>
      </c>
      <c r="L41" s="6"/>
      <c r="M41" s="228"/>
      <c r="N41" s="277"/>
      <c r="O41" s="277"/>
      <c r="P41" s="292"/>
      <c r="Q41" s="293"/>
      <c r="R41" s="293"/>
      <c r="S41" s="277"/>
      <c r="T41" s="56"/>
      <c r="U41" s="276"/>
      <c r="V41" s="11"/>
    </row>
    <row r="42" spans="1:22" ht="15" customHeight="1" x14ac:dyDescent="0.6">
      <c r="A42" s="12"/>
      <c r="B42" s="38" t="s">
        <v>133</v>
      </c>
      <c r="C42" s="328">
        <v>2000</v>
      </c>
      <c r="D42" s="211"/>
      <c r="E42" s="152">
        <f t="shared" si="2"/>
        <v>3.667131872904177E-3</v>
      </c>
      <c r="F42" s="49">
        <f t="shared" si="1"/>
        <v>68.965517241379317</v>
      </c>
      <c r="G42" s="150"/>
      <c r="H42" s="62" t="s">
        <v>47</v>
      </c>
      <c r="I42" s="51"/>
      <c r="J42" s="52"/>
      <c r="K42" s="181">
        <v>0.3</v>
      </c>
      <c r="L42" s="6"/>
      <c r="M42" s="228"/>
      <c r="N42" s="11"/>
      <c r="O42" s="11"/>
      <c r="P42" s="11"/>
      <c r="Q42" s="11"/>
      <c r="R42" s="11"/>
      <c r="S42" s="277"/>
      <c r="T42" s="56"/>
      <c r="U42" s="276"/>
      <c r="V42" s="11"/>
    </row>
    <row r="43" spans="1:22" ht="15" customHeight="1" x14ac:dyDescent="0.6">
      <c r="A43" s="12"/>
      <c r="B43" s="275"/>
      <c r="C43" s="328"/>
      <c r="D43" s="211"/>
      <c r="E43" s="152">
        <f t="shared" si="2"/>
        <v>0</v>
      </c>
      <c r="F43" s="49">
        <f>C43/$K$40</f>
        <v>0</v>
      </c>
      <c r="G43" s="150"/>
      <c r="H43" s="60" t="s">
        <v>48</v>
      </c>
      <c r="I43" s="11"/>
      <c r="J43" s="39"/>
      <c r="K43" s="311">
        <v>0.15</v>
      </c>
      <c r="L43" s="6"/>
      <c r="N43" s="11"/>
      <c r="O43" s="11"/>
      <c r="P43" s="11"/>
      <c r="Q43" s="11"/>
      <c r="R43" s="11"/>
      <c r="S43" s="277"/>
      <c r="T43" s="56"/>
      <c r="U43" s="276"/>
      <c r="V43" s="11"/>
    </row>
    <row r="44" spans="1:22" ht="15" customHeight="1" x14ac:dyDescent="0.6">
      <c r="A44" s="12"/>
      <c r="B44" s="38" t="s">
        <v>134</v>
      </c>
      <c r="C44" s="329">
        <f>+H5*250</f>
        <v>7250</v>
      </c>
      <c r="D44" s="211"/>
      <c r="E44" s="152">
        <v>0.03</v>
      </c>
      <c r="F44" s="49">
        <f t="shared" si="1"/>
        <v>250</v>
      </c>
      <c r="G44" s="150"/>
      <c r="H44" s="53" t="s">
        <v>49</v>
      </c>
      <c r="I44" s="54"/>
      <c r="J44" s="55"/>
      <c r="K44" s="312">
        <v>0.09</v>
      </c>
      <c r="L44" s="6"/>
      <c r="N44" s="11"/>
      <c r="O44" s="11"/>
      <c r="P44" s="11"/>
      <c r="Q44" s="11"/>
      <c r="R44" s="11"/>
      <c r="S44" s="277"/>
      <c r="T44" s="56"/>
      <c r="U44" s="276"/>
      <c r="V44" s="11"/>
    </row>
    <row r="45" spans="1:22" ht="15" customHeight="1" x14ac:dyDescent="0.6">
      <c r="A45" s="12"/>
      <c r="C45" s="328">
        <v>0</v>
      </c>
      <c r="D45" s="211"/>
      <c r="E45" s="363">
        <v>0</v>
      </c>
      <c r="F45" s="49">
        <f t="shared" si="1"/>
        <v>0</v>
      </c>
      <c r="G45" s="150"/>
      <c r="H45" s="50" t="s">
        <v>51</v>
      </c>
      <c r="I45" s="51"/>
      <c r="J45" s="52"/>
      <c r="K45" s="181">
        <v>0.25</v>
      </c>
      <c r="L45" s="6"/>
      <c r="N45" s="11"/>
      <c r="O45" s="11"/>
      <c r="P45" s="11"/>
      <c r="Q45" s="11"/>
      <c r="R45" s="11"/>
      <c r="S45" s="277"/>
      <c r="T45" s="56"/>
      <c r="U45" s="276"/>
      <c r="V45" s="11"/>
    </row>
    <row r="46" spans="1:22" ht="15" customHeight="1" x14ac:dyDescent="0.6">
      <c r="A46" s="12"/>
      <c r="B46" s="237"/>
      <c r="C46" s="328">
        <v>0</v>
      </c>
      <c r="D46" s="212"/>
      <c r="E46" s="203">
        <f>C46/$C$27</f>
        <v>0</v>
      </c>
      <c r="F46" s="205">
        <f t="shared" si="1"/>
        <v>0</v>
      </c>
      <c r="G46" s="150"/>
      <c r="H46" s="53" t="s">
        <v>52</v>
      </c>
      <c r="I46" s="54"/>
      <c r="J46" s="63" t="s">
        <v>121</v>
      </c>
      <c r="K46" s="182">
        <v>27.5</v>
      </c>
      <c r="L46" s="6"/>
      <c r="N46" s="11"/>
      <c r="O46" s="11"/>
      <c r="P46" s="11"/>
      <c r="Q46" s="11"/>
      <c r="R46" s="11"/>
      <c r="S46" s="277"/>
      <c r="T46" s="56"/>
      <c r="U46" s="276"/>
      <c r="V46" s="11"/>
    </row>
    <row r="47" spans="1:22" ht="15" customHeight="1" thickBot="1" x14ac:dyDescent="0.75">
      <c r="A47" s="12"/>
      <c r="B47" s="160"/>
      <c r="C47" s="142"/>
      <c r="D47" s="226"/>
      <c r="E47" s="153"/>
      <c r="F47" s="11"/>
      <c r="G47" s="150"/>
      <c r="H47" s="64" t="s">
        <v>53</v>
      </c>
      <c r="I47" s="11"/>
      <c r="J47" s="11"/>
      <c r="K47" s="183"/>
      <c r="L47" s="6"/>
      <c r="N47" s="11"/>
      <c r="O47" s="11"/>
      <c r="P47" s="11"/>
      <c r="Q47" s="11"/>
      <c r="R47" s="11"/>
      <c r="S47" s="277"/>
      <c r="T47" s="56"/>
      <c r="U47" s="276"/>
      <c r="V47" s="11"/>
    </row>
    <row r="48" spans="1:22" ht="15" customHeight="1" x14ac:dyDescent="0.6">
      <c r="A48" s="12"/>
      <c r="B48" s="97" t="s">
        <v>54</v>
      </c>
      <c r="C48" s="330">
        <f>SUM(C29:C47)</f>
        <v>197869.26750000002</v>
      </c>
      <c r="D48" s="213"/>
      <c r="E48" s="154">
        <f>SUM(C48/C27)</f>
        <v>0.3628063487587263</v>
      </c>
      <c r="F48" s="65">
        <f t="shared" si="1"/>
        <v>6823.0781896551725</v>
      </c>
      <c r="G48" s="150"/>
      <c r="H48" s="386"/>
      <c r="I48" s="387"/>
      <c r="J48" s="387"/>
      <c r="K48" s="273"/>
      <c r="L48" s="6"/>
      <c r="N48" s="11"/>
      <c r="O48" s="11"/>
      <c r="P48" s="11"/>
      <c r="Q48" s="11"/>
      <c r="R48" s="11"/>
      <c r="S48" s="277"/>
      <c r="T48" s="56"/>
      <c r="U48" s="276"/>
      <c r="V48" s="11"/>
    </row>
    <row r="49" spans="1:31" ht="15" customHeight="1" x14ac:dyDescent="0.6">
      <c r="A49" s="12"/>
      <c r="B49" s="83" t="s">
        <v>55</v>
      </c>
      <c r="C49" s="331">
        <f>C27-C48</f>
        <v>347516.08249999996</v>
      </c>
      <c r="D49" s="214"/>
      <c r="E49" s="152">
        <f>C49/$C$24</f>
        <v>0.60400498911103262</v>
      </c>
      <c r="F49" s="49">
        <f t="shared" si="1"/>
        <v>11983.313189655171</v>
      </c>
      <c r="G49" s="150"/>
      <c r="H49" s="386"/>
      <c r="I49" s="387"/>
      <c r="J49" s="387"/>
      <c r="K49" s="388"/>
      <c r="L49" s="6"/>
      <c r="N49" s="11"/>
      <c r="O49" s="11"/>
      <c r="P49" s="11"/>
      <c r="Q49" s="11"/>
      <c r="R49" s="11"/>
      <c r="S49" s="291"/>
      <c r="T49" s="56"/>
      <c r="U49" s="276"/>
      <c r="V49" s="11"/>
    </row>
    <row r="50" spans="1:31" ht="15" customHeight="1" x14ac:dyDescent="0.6">
      <c r="A50" s="12"/>
      <c r="B50" s="83" t="s">
        <v>56</v>
      </c>
      <c r="C50" s="332">
        <f>J17</f>
        <v>223448.22163321337</v>
      </c>
      <c r="D50" s="208"/>
      <c r="E50" s="152">
        <f>C50/$C$24</f>
        <v>0.38836717916342378</v>
      </c>
      <c r="F50" s="49">
        <f t="shared" si="1"/>
        <v>7705.1110908004612</v>
      </c>
      <c r="G50" s="150"/>
      <c r="H50" s="268"/>
      <c r="I50" s="73"/>
      <c r="J50" s="73" t="s">
        <v>123</v>
      </c>
      <c r="K50" s="270">
        <v>0.03</v>
      </c>
      <c r="L50" s="6"/>
      <c r="N50" s="11"/>
      <c r="O50" s="11"/>
      <c r="P50" s="11"/>
      <c r="Q50" s="11"/>
      <c r="R50" s="11"/>
      <c r="S50" s="11"/>
      <c r="T50" s="11"/>
      <c r="U50" s="11"/>
      <c r="V50" s="11"/>
    </row>
    <row r="51" spans="1:31" ht="15" customHeight="1" thickBot="1" x14ac:dyDescent="0.75">
      <c r="A51" s="12"/>
      <c r="B51" s="167" t="s">
        <v>57</v>
      </c>
      <c r="C51" s="333">
        <f>C49-C50</f>
        <v>124067.86086678659</v>
      </c>
      <c r="D51" s="227"/>
      <c r="E51" s="155">
        <f>C51/C13</f>
        <v>7.1845304881237262E-2</v>
      </c>
      <c r="F51" s="67">
        <f t="shared" si="1"/>
        <v>4278.2020988547101</v>
      </c>
      <c r="G51" s="68"/>
      <c r="H51" s="392"/>
      <c r="I51" s="393"/>
      <c r="J51" s="393"/>
      <c r="K51" s="394"/>
      <c r="L51" s="69"/>
      <c r="M51" s="11"/>
      <c r="N51" s="104"/>
      <c r="O51" s="104"/>
      <c r="P51" s="109"/>
      <c r="Q51" s="109"/>
      <c r="R51" s="109"/>
      <c r="S51" s="109"/>
      <c r="T51" s="109"/>
      <c r="U51" s="109"/>
      <c r="V51" s="109"/>
      <c r="W51" s="70"/>
      <c r="X51" s="70"/>
      <c r="Y51" s="70"/>
      <c r="Z51" s="70"/>
      <c r="AA51" s="70"/>
      <c r="AB51" s="70"/>
      <c r="AC51" s="70"/>
      <c r="AD51" s="70"/>
      <c r="AE51" s="70"/>
    </row>
    <row r="52" spans="1:31" ht="15" customHeight="1" thickTop="1" x14ac:dyDescent="0.8">
      <c r="A52" s="12"/>
      <c r="B52" s="4"/>
      <c r="C52" s="4"/>
      <c r="D52" s="4"/>
      <c r="E52" s="4"/>
      <c r="F52" s="4"/>
      <c r="G52" s="187"/>
      <c r="H52" s="4"/>
      <c r="I52" s="4"/>
      <c r="J52" s="4"/>
      <c r="K52" s="84"/>
      <c r="L52" s="72"/>
      <c r="M52" s="15"/>
      <c r="N52" s="73"/>
      <c r="O52" s="73"/>
      <c r="P52" s="11"/>
      <c r="Q52" s="11"/>
      <c r="R52" s="11"/>
      <c r="S52" s="11"/>
      <c r="T52" s="11"/>
      <c r="U52" s="11"/>
      <c r="V52" s="11"/>
    </row>
    <row r="53" spans="1:31" ht="18" x14ac:dyDescent="0.8">
      <c r="A53" s="12"/>
      <c r="B53" s="4"/>
      <c r="C53" s="4"/>
      <c r="D53" s="185"/>
      <c r="E53" s="186" t="s">
        <v>152</v>
      </c>
      <c r="F53" s="187"/>
      <c r="G53" s="187"/>
      <c r="H53" s="186"/>
      <c r="I53" s="186"/>
      <c r="J53" s="192"/>
      <c r="K53" s="192"/>
      <c r="L53" s="72"/>
      <c r="M53" s="74"/>
      <c r="N53" s="279"/>
      <c r="O53" s="75"/>
      <c r="P53" s="281"/>
      <c r="Q53" s="281"/>
      <c r="R53" s="76"/>
      <c r="S53" s="281"/>
      <c r="T53" s="281"/>
      <c r="U53" s="281"/>
      <c r="V53" s="281"/>
      <c r="W53" s="76"/>
      <c r="X53" s="76"/>
      <c r="Y53" s="76"/>
      <c r="Z53" s="76"/>
      <c r="AA53" s="76"/>
      <c r="AB53" s="76"/>
      <c r="AC53" s="76"/>
      <c r="AD53" s="76"/>
      <c r="AE53" s="76"/>
    </row>
    <row r="54" spans="1:31" ht="18.75" thickBot="1" x14ac:dyDescent="0.95">
      <c r="A54" s="12"/>
      <c r="B54" s="372"/>
      <c r="C54" s="372"/>
      <c r="D54" s="193"/>
      <c r="E54" s="193"/>
      <c r="F54" s="193"/>
      <c r="G54" s="193"/>
      <c r="H54" s="187"/>
      <c r="I54" s="185"/>
      <c r="J54" s="185"/>
      <c r="K54" s="194"/>
      <c r="L54" s="2"/>
      <c r="M54" s="77"/>
      <c r="N54" s="280"/>
      <c r="P54" s="280"/>
      <c r="Q54" s="280"/>
      <c r="S54" s="280"/>
      <c r="T54" s="280"/>
      <c r="U54" s="280"/>
      <c r="V54" s="280"/>
    </row>
    <row r="55" spans="1:31" ht="15" customHeight="1" thickTop="1" thickBot="1" x14ac:dyDescent="0.75">
      <c r="A55" s="12"/>
      <c r="B55" s="373" t="s">
        <v>61</v>
      </c>
      <c r="C55" s="78"/>
      <c r="D55" s="78"/>
      <c r="E55" s="78"/>
      <c r="F55" s="79" t="s">
        <v>13</v>
      </c>
      <c r="G55" s="79"/>
      <c r="H55" s="78"/>
      <c r="I55" s="78"/>
      <c r="J55" s="78"/>
      <c r="K55" s="80"/>
      <c r="L55" s="6"/>
    </row>
    <row r="56" spans="1:31" ht="15" customHeight="1" thickTop="1" x14ac:dyDescent="0.6">
      <c r="A56" s="12"/>
      <c r="B56" s="298" t="s">
        <v>135</v>
      </c>
      <c r="C56" s="81" t="s">
        <v>58</v>
      </c>
      <c r="D56" s="259" t="s">
        <v>115</v>
      </c>
      <c r="E56" s="81" t="s">
        <v>59</v>
      </c>
      <c r="F56" s="81" t="s">
        <v>16</v>
      </c>
      <c r="G56" s="259" t="s">
        <v>118</v>
      </c>
      <c r="H56" s="81" t="s">
        <v>17</v>
      </c>
      <c r="I56" s="81" t="s">
        <v>18</v>
      </c>
      <c r="J56" s="232" t="s">
        <v>19</v>
      </c>
      <c r="K56" s="82"/>
      <c r="L56" s="6"/>
    </row>
    <row r="57" spans="1:31" ht="15" customHeight="1" x14ac:dyDescent="0.6">
      <c r="A57" s="12"/>
      <c r="B57" s="298"/>
      <c r="C57" s="16" t="s">
        <v>60</v>
      </c>
      <c r="D57" s="257" t="s">
        <v>116</v>
      </c>
      <c r="E57" s="16" t="s">
        <v>15</v>
      </c>
      <c r="F57" s="16" t="s">
        <v>23</v>
      </c>
      <c r="G57" s="257" t="s">
        <v>119</v>
      </c>
      <c r="H57" s="16" t="s">
        <v>24</v>
      </c>
      <c r="I57" s="16" t="s">
        <v>25</v>
      </c>
      <c r="J57" s="17" t="s">
        <v>26</v>
      </c>
      <c r="K57" s="84"/>
      <c r="L57" s="85"/>
      <c r="M57" s="21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</row>
    <row r="58" spans="1:31" ht="15" customHeight="1" thickBot="1" x14ac:dyDescent="0.75">
      <c r="A58" s="12"/>
      <c r="B58" s="83" t="s">
        <v>136</v>
      </c>
      <c r="C58" s="66">
        <f>C17</f>
        <v>3674999.9999999995</v>
      </c>
      <c r="D58" s="258" t="str">
        <f>+D17</f>
        <v>n</v>
      </c>
      <c r="E58" s="66">
        <f>E17</f>
        <v>30</v>
      </c>
      <c r="F58" s="66">
        <f>F17</f>
        <v>12</v>
      </c>
      <c r="G58" s="258">
        <f>+G17</f>
        <v>10</v>
      </c>
      <c r="H58" s="86">
        <f>H17</f>
        <v>4.4999999999999998E-2</v>
      </c>
      <c r="I58" s="66">
        <f>I17</f>
        <v>18620.685136101114</v>
      </c>
      <c r="J58" s="20">
        <f>J17</f>
        <v>223448.22163321337</v>
      </c>
      <c r="K58" s="87"/>
      <c r="L58" s="85"/>
      <c r="M58" s="21"/>
      <c r="N58" s="294"/>
      <c r="O58" s="278"/>
      <c r="P58" s="278"/>
      <c r="Q58" s="278"/>
      <c r="R58" s="278"/>
      <c r="S58" s="278"/>
      <c r="T58" s="278"/>
      <c r="U58" s="278"/>
      <c r="V58" s="278"/>
      <c r="W58" s="278"/>
      <c r="X58" s="128"/>
      <c r="Y58" s="128"/>
      <c r="Z58" s="128"/>
      <c r="AA58" s="128"/>
      <c r="AB58" s="128"/>
      <c r="AC58" s="128"/>
    </row>
    <row r="59" spans="1:31" ht="15" hidden="1" customHeight="1" thickBot="1" x14ac:dyDescent="0.75">
      <c r="A59" s="12"/>
      <c r="B59" s="83" t="s">
        <v>62</v>
      </c>
      <c r="C59" s="295">
        <v>1</v>
      </c>
      <c r="D59" s="295"/>
      <c r="E59" s="295">
        <v>2</v>
      </c>
      <c r="F59" s="295">
        <v>3</v>
      </c>
      <c r="G59" s="295"/>
      <c r="H59" s="295">
        <v>4</v>
      </c>
      <c r="I59" s="295">
        <v>5</v>
      </c>
      <c r="J59" s="296">
        <v>6</v>
      </c>
      <c r="K59" s="297">
        <v>7</v>
      </c>
      <c r="L59" s="85"/>
      <c r="M59" s="21"/>
      <c r="N59" s="21"/>
      <c r="O59" s="21"/>
      <c r="P59" s="21"/>
      <c r="Q59" s="21"/>
      <c r="R59" s="21"/>
      <c r="S59" s="278"/>
      <c r="T59" s="278"/>
      <c r="U59" s="278"/>
      <c r="V59" s="278"/>
      <c r="Y59" s="278"/>
      <c r="Z59" s="278"/>
      <c r="AA59" s="278"/>
      <c r="AB59" s="130"/>
      <c r="AC59" s="130"/>
    </row>
    <row r="60" spans="1:31" ht="15" customHeight="1" thickBot="1" x14ac:dyDescent="0.75">
      <c r="A60" s="12"/>
      <c r="B60" s="83" t="s">
        <v>17</v>
      </c>
      <c r="C60" s="95" t="s">
        <v>66</v>
      </c>
      <c r="D60" s="95"/>
      <c r="E60" s="95" t="s">
        <v>67</v>
      </c>
      <c r="F60" s="95" t="s">
        <v>68</v>
      </c>
      <c r="G60" s="95"/>
      <c r="H60" s="95" t="s">
        <v>69</v>
      </c>
      <c r="I60" s="95" t="s">
        <v>70</v>
      </c>
      <c r="J60" s="95" t="s">
        <v>71</v>
      </c>
      <c r="K60" s="96" t="s">
        <v>72</v>
      </c>
      <c r="L60" s="85"/>
      <c r="M60" s="21"/>
      <c r="N60" s="21"/>
      <c r="O60" s="21"/>
      <c r="P60" s="21"/>
      <c r="Q60" s="21"/>
      <c r="R60" s="21"/>
      <c r="S60" s="278"/>
      <c r="T60" s="278"/>
      <c r="U60" s="278"/>
      <c r="V60" s="278"/>
      <c r="Y60" s="278"/>
      <c r="Z60" s="278"/>
      <c r="AA60" s="278"/>
      <c r="AB60" s="130"/>
      <c r="AC60" s="130"/>
    </row>
    <row r="61" spans="1:31" ht="15" customHeight="1" x14ac:dyDescent="0.6">
      <c r="A61" s="12"/>
      <c r="B61" s="83" t="s">
        <v>63</v>
      </c>
      <c r="C61" s="19" t="str">
        <f>IF($D58="n","N",IF($G58&gt;=1,"Y","N"))</f>
        <v>N</v>
      </c>
      <c r="D61" s="66"/>
      <c r="E61" s="19" t="str">
        <f>IF($D58="n","N",IF($G58&gt;=2,"Y","N"))</f>
        <v>N</v>
      </c>
      <c r="F61" s="19" t="str">
        <f>IF($D58="n","N",IF($G58&gt;=3,"Y","N"))</f>
        <v>N</v>
      </c>
      <c r="G61" s="88"/>
      <c r="H61" s="19" t="str">
        <f>IF($D58="n","N",IF($G58&gt;=4,"Y","N"))</f>
        <v>N</v>
      </c>
      <c r="I61" s="19" t="str">
        <f>IF($D58="n","N",IF($G58&gt;=5,"Y","N"))</f>
        <v>N</v>
      </c>
      <c r="J61" s="19" t="str">
        <f>IF($D58="n","N",IF($G58&gt;=6,"Y","N"))</f>
        <v>N</v>
      </c>
      <c r="K61" s="19" t="str">
        <f>IF($D58="n","N",IF($G58&gt;=7,"Y","N"))</f>
        <v>N</v>
      </c>
      <c r="L61" s="85"/>
      <c r="M61" s="21"/>
      <c r="N61" s="21"/>
      <c r="O61" s="21"/>
      <c r="P61" s="21"/>
      <c r="Q61" s="21"/>
      <c r="R61" s="21"/>
      <c r="S61" s="278"/>
      <c r="T61" s="278"/>
      <c r="U61" s="278"/>
      <c r="V61" s="278"/>
      <c r="Y61" s="278"/>
      <c r="Z61" s="278"/>
      <c r="AA61" s="278"/>
      <c r="AB61" s="130"/>
      <c r="AC61" s="130"/>
    </row>
    <row r="62" spans="1:31" ht="15" customHeight="1" x14ac:dyDescent="0.6">
      <c r="A62" s="12"/>
      <c r="B62" s="83" t="s">
        <v>17</v>
      </c>
      <c r="C62" s="66">
        <f>IF(C61="y",$C$58,(-FV($H$58/12,12,-$I$58,$C$58)))</f>
        <v>3615713.919080595</v>
      </c>
      <c r="D62" s="66"/>
      <c r="E62" s="66">
        <f>IF($C$61="y",IF(E61="y",$C$58,(-FV(#REF!/12,(E59-$G$58)*12,-#REF!,#REF!))),-FV($H$58/12,24,-$I58,$C$58))</f>
        <v>3553704.2459764113</v>
      </c>
      <c r="F62" s="66">
        <f>IF($C$61="y",IF(F61="y",$C$58,(-FV(#REF!/12,(F59-$G$58)*12,-#REF!,#REF!))),-FV($H$58/12,36,-$I58,$C$58))</f>
        <v>3488845.8593389965</v>
      </c>
      <c r="G62" s="66"/>
      <c r="H62" s="66">
        <f>IF($C$61="y",IF(H61="y",$C$58,(-FV(#REF!/12,(H59-$G$58)*12,-#REF!,#REF!))),-FV($H$58/12,48,-$I58,$C$58))</f>
        <v>3421007.8897670438</v>
      </c>
      <c r="I62" s="66">
        <f>IF($C$61="y",IF(I61="y",$C$58,(-FV(#REF!/12,(I59-$G$58)*12,-#REF!,#REF!))),-FV($H$58/12,60,-$I58,$C$58))</f>
        <v>3350053.4557418469</v>
      </c>
      <c r="J62" s="66">
        <f>IF($C$61="y",IF(J61="y",$C$58,(-FV(#REF!/12,(J59-$G$58)*12,-#REF!,#REF!))),-FV($H$58/12,72,-$I58,$C$58))</f>
        <v>3275839.3874316784</v>
      </c>
      <c r="K62" s="66">
        <f>IF($C$61="y",IF(K61="y",$C$58,(-FV(#REF!/12,(K59-$G$58)*12,-#REF!,#REF!))),-FV($H$58/12,84,-$I58,$C$58))</f>
        <v>3198215.9378077914</v>
      </c>
      <c r="L62" s="85"/>
      <c r="M62" s="21"/>
      <c r="N62" s="128"/>
      <c r="O62" s="128"/>
      <c r="P62" s="128"/>
      <c r="Q62" s="128"/>
      <c r="R62" s="128"/>
      <c r="S62" s="128"/>
      <c r="T62" s="278"/>
      <c r="U62" s="278"/>
      <c r="V62" s="278"/>
      <c r="X62" s="278"/>
      <c r="Y62" s="278"/>
      <c r="Z62" s="278"/>
      <c r="AA62" s="278"/>
      <c r="AB62" s="278"/>
      <c r="AC62" s="128"/>
    </row>
    <row r="63" spans="1:31" ht="15" customHeight="1" thickBot="1" x14ac:dyDescent="0.75">
      <c r="A63" s="12"/>
      <c r="B63" s="83" t="s">
        <v>64</v>
      </c>
      <c r="C63" s="66">
        <f>IF(C59&gt;$G58,#REF!-#REF!+C62,$J58-C58+C62)</f>
        <v>164162.14071380906</v>
      </c>
      <c r="D63" s="66"/>
      <c r="E63" s="66">
        <f>IF(E59&gt;$G58,#REF!-C62+E62,$J58-C62+E62)</f>
        <v>161438.54852902982</v>
      </c>
      <c r="F63" s="66">
        <f>IF(F59&gt;$G58,#REF!-E62+F62,$J58-E62+F62)</f>
        <v>158589.83499579877</v>
      </c>
      <c r="G63" s="66"/>
      <c r="H63" s="66">
        <f>IF(H59&gt;$G58,#REF!-F62+H62,$J58-F62+H62)</f>
        <v>155610.25206126086</v>
      </c>
      <c r="I63" s="66">
        <f>IF(I59&gt;$G58,#REF!-H62+I62,$J58-H62+I62)</f>
        <v>152493.78760801675</v>
      </c>
      <c r="J63" s="66">
        <f>IF(J59&gt;$G58,#REF!-I62+J62,$J58-I62+J62)</f>
        <v>149234.153323045</v>
      </c>
      <c r="K63" s="66">
        <f>IF(K59&gt;$G58,#REF!-J62+K62,$J58-J62+K62)</f>
        <v>145824.77200932661</v>
      </c>
      <c r="L63" s="85"/>
      <c r="M63" s="21"/>
      <c r="N63" s="128"/>
      <c r="O63" s="128"/>
      <c r="P63" s="128"/>
      <c r="Q63" s="128"/>
      <c r="R63" s="128"/>
      <c r="S63" s="128"/>
      <c r="T63" s="128"/>
      <c r="U63" s="278"/>
      <c r="V63" s="278"/>
      <c r="X63" s="278"/>
      <c r="Y63" s="278"/>
      <c r="Z63" s="278"/>
      <c r="AA63" s="278"/>
      <c r="AB63" s="278"/>
      <c r="AC63" s="278"/>
    </row>
    <row r="64" spans="1:31" ht="15" customHeight="1" thickTop="1" x14ac:dyDescent="0.6">
      <c r="A64" s="12"/>
      <c r="B64" s="90"/>
      <c r="C64" s="66" t="str">
        <f>IF(W73&gt;0,ROUND(+W73+N89,0)," ")</f>
        <v xml:space="preserve"> </v>
      </c>
      <c r="D64" s="66"/>
      <c r="E64" s="66" t="str">
        <f>IF(X73&gt;0,ROUND(+X73+P89,0)," ")</f>
        <v xml:space="preserve"> </v>
      </c>
      <c r="F64" s="66" t="str">
        <f>IF(Y73&gt;0,ROUND(+Y73+Q89,0)," ")</f>
        <v xml:space="preserve"> </v>
      </c>
      <c r="G64" s="66"/>
      <c r="H64" s="66" t="str">
        <f>IF(Z73&gt;0,ROUND(+Z73+S89,0)," ")</f>
        <v xml:space="preserve"> </v>
      </c>
      <c r="I64" s="66" t="str">
        <f>IF(AA73&gt;0,ROUND(+AA73+T89,0)," ")</f>
        <v xml:space="preserve"> </v>
      </c>
      <c r="J64" s="66" t="str">
        <f>IF(AB73&gt;0,ROUND(+AB73+U89,0)," ")</f>
        <v xml:space="preserve"> </v>
      </c>
      <c r="K64" s="89" t="str">
        <f>IF(AC73&gt;0,ROUND(+AC73+V89,0)," ")</f>
        <v xml:space="preserve"> </v>
      </c>
      <c r="L64" s="85"/>
      <c r="M64" s="21"/>
      <c r="N64" s="128"/>
      <c r="O64" s="128"/>
      <c r="P64" s="128"/>
      <c r="Q64" s="128"/>
      <c r="R64" s="128"/>
      <c r="S64" s="128"/>
      <c r="T64" s="128"/>
      <c r="U64" s="128"/>
      <c r="V64" s="278"/>
      <c r="W64" s="278"/>
      <c r="X64" s="278"/>
      <c r="Y64" s="278"/>
      <c r="Z64" s="278"/>
      <c r="AA64" s="278"/>
      <c r="AB64" s="278"/>
      <c r="AC64" s="278"/>
      <c r="AD64" s="278"/>
    </row>
    <row r="65" spans="1:31" ht="15" customHeight="1" x14ac:dyDescent="0.6">
      <c r="A65" s="12"/>
      <c r="B65" s="103"/>
      <c r="C65" s="66">
        <v>0</v>
      </c>
      <c r="D65" s="66"/>
      <c r="E65" s="66">
        <v>0</v>
      </c>
      <c r="F65" s="66">
        <v>0</v>
      </c>
      <c r="G65" s="66"/>
      <c r="H65" s="66">
        <v>0</v>
      </c>
      <c r="I65" s="66">
        <v>0</v>
      </c>
      <c r="J65" s="66">
        <v>0</v>
      </c>
      <c r="K65" s="89">
        <v>0</v>
      </c>
      <c r="L65" s="85"/>
      <c r="M65" s="21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</row>
    <row r="66" spans="1:31" ht="15" customHeight="1" thickBot="1" x14ac:dyDescent="0.75">
      <c r="A66" s="12"/>
      <c r="B66" s="103"/>
      <c r="C66" s="66">
        <f>+C58-C62</f>
        <v>59286.080919404514</v>
      </c>
      <c r="D66" s="66"/>
      <c r="E66" s="66">
        <f>+C62-E62</f>
        <v>62009.673104183748</v>
      </c>
      <c r="F66" s="66">
        <f>+E62-F62</f>
        <v>64858.386637414806</v>
      </c>
      <c r="G66" s="66"/>
      <c r="H66" s="66">
        <f>+F62-H62</f>
        <v>67837.969571952708</v>
      </c>
      <c r="I66" s="66">
        <f>+H62-I62</f>
        <v>70954.434025196824</v>
      </c>
      <c r="J66" s="66">
        <f>+I62-J62</f>
        <v>74214.068310168572</v>
      </c>
      <c r="K66" s="66">
        <f>+J62-K62</f>
        <v>77623.449623886961</v>
      </c>
      <c r="L66" s="85"/>
      <c r="M66" s="21"/>
      <c r="N66" s="294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</row>
    <row r="67" spans="1:31" ht="15" customHeight="1" thickTop="1" thickBot="1" x14ac:dyDescent="0.75">
      <c r="A67" s="12"/>
      <c r="B67" s="94"/>
      <c r="C67" s="91"/>
      <c r="D67" s="91"/>
      <c r="E67" s="91"/>
      <c r="F67" s="92" t="s">
        <v>65</v>
      </c>
      <c r="G67" s="92"/>
      <c r="H67" s="91"/>
      <c r="I67" s="91"/>
      <c r="J67" s="91"/>
      <c r="K67" s="93"/>
      <c r="L67" s="85"/>
      <c r="M67" s="21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</row>
    <row r="68" spans="1:31" x14ac:dyDescent="0.6">
      <c r="A68" s="12"/>
      <c r="B68" s="97" t="s">
        <v>40</v>
      </c>
      <c r="C68" s="269" t="s">
        <v>43</v>
      </c>
      <c r="D68" s="269"/>
      <c r="E68" s="305">
        <v>0</v>
      </c>
      <c r="F68" s="306">
        <v>0.03</v>
      </c>
      <c r="G68" s="307"/>
      <c r="H68" s="305">
        <v>0.03</v>
      </c>
      <c r="I68" s="305">
        <v>0.03</v>
      </c>
      <c r="J68" s="305">
        <f t="shared" ref="I68:K69" si="3">+I68</f>
        <v>0.03</v>
      </c>
      <c r="K68" s="308">
        <f t="shared" si="3"/>
        <v>0.03</v>
      </c>
      <c r="L68" s="85"/>
      <c r="M68" s="21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</row>
    <row r="69" spans="1:31" ht="13.75" thickBot="1" x14ac:dyDescent="0.75">
      <c r="A69" s="12"/>
      <c r="B69" s="83" t="s">
        <v>73</v>
      </c>
      <c r="C69" s="269" t="s">
        <v>44</v>
      </c>
      <c r="D69" s="269"/>
      <c r="E69" s="305">
        <v>0.04</v>
      </c>
      <c r="F69" s="306">
        <f>+E69</f>
        <v>0.04</v>
      </c>
      <c r="G69" s="307"/>
      <c r="H69" s="305">
        <f>+F69</f>
        <v>0.04</v>
      </c>
      <c r="I69" s="305">
        <f t="shared" si="3"/>
        <v>0.04</v>
      </c>
      <c r="J69" s="305">
        <f t="shared" si="3"/>
        <v>0.04</v>
      </c>
      <c r="K69" s="308">
        <f t="shared" si="3"/>
        <v>0.04</v>
      </c>
      <c r="L69" s="85"/>
      <c r="M69" s="21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</row>
    <row r="70" spans="1:31" ht="15" customHeight="1" thickBot="1" x14ac:dyDescent="0.75">
      <c r="A70" s="12"/>
      <c r="B70" s="83" t="s">
        <v>55</v>
      </c>
      <c r="C70" s="95" t="s">
        <v>66</v>
      </c>
      <c r="D70" s="95"/>
      <c r="E70" s="95" t="s">
        <v>67</v>
      </c>
      <c r="F70" s="95" t="s">
        <v>68</v>
      </c>
      <c r="G70" s="95"/>
      <c r="H70" s="95" t="s">
        <v>69</v>
      </c>
      <c r="I70" s="95" t="s">
        <v>70</v>
      </c>
      <c r="J70" s="95" t="s">
        <v>71</v>
      </c>
      <c r="K70" s="96" t="s">
        <v>72</v>
      </c>
      <c r="L70" s="85"/>
      <c r="M70" s="21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</row>
    <row r="71" spans="1:31" ht="15" customHeight="1" x14ac:dyDescent="0.6">
      <c r="A71" s="12"/>
      <c r="B71" s="83" t="s">
        <v>74</v>
      </c>
      <c r="C71" s="98">
        <f>IF(C17=0," ",C27)</f>
        <v>545385.35</v>
      </c>
      <c r="D71" s="98"/>
      <c r="E71" s="98">
        <f>C71*(1+E68)</f>
        <v>545385.35</v>
      </c>
      <c r="F71" s="98">
        <f>E71*(1+F68)</f>
        <v>561746.9105</v>
      </c>
      <c r="G71" s="98"/>
      <c r="H71" s="98">
        <f>F71*(1+H68)</f>
        <v>578599.31781499996</v>
      </c>
      <c r="I71" s="98">
        <f t="shared" ref="I71:K72" si="4">H71*(1+I68)</f>
        <v>595957.29734944995</v>
      </c>
      <c r="J71" s="98">
        <f t="shared" si="4"/>
        <v>613836.01626993343</v>
      </c>
      <c r="K71" s="99">
        <f t="shared" si="4"/>
        <v>632251.0967580314</v>
      </c>
      <c r="L71" s="6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70"/>
      <c r="AE71" s="70"/>
    </row>
    <row r="72" spans="1:31" ht="15" customHeight="1" x14ac:dyDescent="0.6">
      <c r="A72" s="12"/>
      <c r="B72" s="83" t="s">
        <v>75</v>
      </c>
      <c r="C72" s="66">
        <f>IF(C17=0," ",C48)</f>
        <v>197869.26750000002</v>
      </c>
      <c r="D72" s="66"/>
      <c r="E72" s="66">
        <f>C72*(1+E69)</f>
        <v>205784.03820000001</v>
      </c>
      <c r="F72" s="66">
        <f>E72*(1+F69)</f>
        <v>214015.39972800002</v>
      </c>
      <c r="G72" s="66"/>
      <c r="H72" s="66">
        <f>F72*(1+H69)</f>
        <v>222576.01571712003</v>
      </c>
      <c r="I72" s="66">
        <f t="shared" si="4"/>
        <v>231479.05634580483</v>
      </c>
      <c r="J72" s="66">
        <f t="shared" si="4"/>
        <v>240738.21859963704</v>
      </c>
      <c r="K72" s="89">
        <f t="shared" si="4"/>
        <v>250367.74734362253</v>
      </c>
      <c r="L72" s="85"/>
      <c r="M72" s="21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</row>
    <row r="73" spans="1:31" ht="15" customHeight="1" thickBot="1" x14ac:dyDescent="0.75">
      <c r="A73" s="12"/>
      <c r="B73" s="100" t="s">
        <v>65</v>
      </c>
      <c r="C73" s="66">
        <f t="shared" ref="C73:K73" si="5">C71-C72</f>
        <v>347516.08249999996</v>
      </c>
      <c r="D73" s="66"/>
      <c r="E73" s="66">
        <f t="shared" si="5"/>
        <v>339601.31179999997</v>
      </c>
      <c r="F73" s="66">
        <f t="shared" si="5"/>
        <v>347731.51077199995</v>
      </c>
      <c r="G73" s="66"/>
      <c r="H73" s="66">
        <f t="shared" si="5"/>
        <v>356023.30209787993</v>
      </c>
      <c r="I73" s="66">
        <f t="shared" si="5"/>
        <v>364478.24100364512</v>
      </c>
      <c r="J73" s="66">
        <f t="shared" si="5"/>
        <v>373097.79767029639</v>
      </c>
      <c r="K73" s="89">
        <f t="shared" si="5"/>
        <v>381883.34941440891</v>
      </c>
      <c r="L73" s="85"/>
      <c r="M73" s="21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</row>
    <row r="74" spans="1:31" ht="15" customHeight="1" thickBot="1" x14ac:dyDescent="0.75">
      <c r="A74" s="12"/>
      <c r="B74" s="103"/>
      <c r="C74" s="66">
        <f>IF(C63+C65&gt;0,C63+C65," ")</f>
        <v>164162.14071380906</v>
      </c>
      <c r="D74" s="66"/>
      <c r="E74" s="66">
        <f>IF(E63+E65&gt;0,E63+E65," ")</f>
        <v>161438.54852902982</v>
      </c>
      <c r="F74" s="66">
        <f>IF(F63+F65&gt;0,F63+F65," ")</f>
        <v>158589.83499579877</v>
      </c>
      <c r="G74" s="66"/>
      <c r="H74" s="66">
        <f>IF(H63+H65&gt;0,H63+H65," ")</f>
        <v>155610.25206126086</v>
      </c>
      <c r="I74" s="66">
        <f>IF(I63+I65&gt;0,I63+I65," ")</f>
        <v>152493.78760801675</v>
      </c>
      <c r="J74" s="66">
        <f>IF(J63+J65&gt;0,J63+J65," ")</f>
        <v>149234.153323045</v>
      </c>
      <c r="K74" s="89">
        <f>IF(K63+K65&gt;0,K63+K65," ")</f>
        <v>145824.77200932661</v>
      </c>
      <c r="L74" s="6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1:31" ht="15" customHeight="1" x14ac:dyDescent="0.6">
      <c r="A75" s="12"/>
      <c r="B75" s="97" t="s">
        <v>55</v>
      </c>
      <c r="C75" s="66">
        <f>F10/K46</f>
        <v>154909.09090909091</v>
      </c>
      <c r="D75" s="66"/>
      <c r="E75" s="66">
        <f>C75</f>
        <v>154909.09090909091</v>
      </c>
      <c r="F75" s="66">
        <f t="shared" ref="F75:K75" si="6">E75</f>
        <v>154909.09090909091</v>
      </c>
      <c r="G75" s="66"/>
      <c r="H75" s="66">
        <f>F75</f>
        <v>154909.09090909091</v>
      </c>
      <c r="I75" s="66">
        <f t="shared" si="6"/>
        <v>154909.09090909091</v>
      </c>
      <c r="J75" s="66">
        <f t="shared" si="6"/>
        <v>154909.09090909091</v>
      </c>
      <c r="K75" s="89">
        <f t="shared" si="6"/>
        <v>154909.09090909091</v>
      </c>
      <c r="L75" s="85"/>
      <c r="M75" s="21"/>
      <c r="N75" s="128"/>
      <c r="O75" s="128"/>
      <c r="P75" s="128"/>
      <c r="Q75" s="128"/>
      <c r="R75" s="128"/>
      <c r="S75" s="128"/>
      <c r="T75" s="128"/>
      <c r="U75" s="128"/>
      <c r="V75" s="128"/>
      <c r="W75" s="21"/>
      <c r="X75" s="21"/>
      <c r="Y75" s="21"/>
      <c r="Z75" s="21"/>
      <c r="AA75" s="21"/>
      <c r="AB75" s="21"/>
      <c r="AC75" s="21"/>
    </row>
    <row r="76" spans="1:31" ht="15" customHeight="1" thickBot="1" x14ac:dyDescent="0.75">
      <c r="A76" s="12"/>
      <c r="B76" s="83" t="s">
        <v>77</v>
      </c>
      <c r="C76" s="101">
        <f t="shared" ref="C76:K76" si="7">C73-SUM(C74:C75)</f>
        <v>28444.850877099962</v>
      </c>
      <c r="D76" s="101"/>
      <c r="E76" s="101">
        <f t="shared" si="7"/>
        <v>23253.672361879202</v>
      </c>
      <c r="F76" s="101">
        <f t="shared" si="7"/>
        <v>34232.584867110243</v>
      </c>
      <c r="G76" s="101"/>
      <c r="H76" s="101">
        <f t="shared" si="7"/>
        <v>45503.959127528127</v>
      </c>
      <c r="I76" s="101">
        <f t="shared" si="7"/>
        <v>57075.36248653743</v>
      </c>
      <c r="J76" s="101">
        <f t="shared" si="7"/>
        <v>68954.553438160452</v>
      </c>
      <c r="K76" s="102">
        <f t="shared" si="7"/>
        <v>81149.486495991354</v>
      </c>
      <c r="L76" s="85"/>
      <c r="M76" s="21"/>
      <c r="N76" s="128"/>
      <c r="O76" s="128"/>
      <c r="P76" s="128"/>
      <c r="Q76" s="128"/>
      <c r="R76" s="128"/>
      <c r="S76" s="128"/>
      <c r="T76" s="128"/>
      <c r="U76" s="128"/>
      <c r="V76" s="128"/>
      <c r="W76" s="21"/>
      <c r="X76" s="21"/>
      <c r="Y76" s="21"/>
      <c r="Z76" s="21"/>
      <c r="AA76" s="21"/>
      <c r="AB76" s="21"/>
      <c r="AC76" s="21"/>
    </row>
    <row r="77" spans="1:31" ht="15" customHeight="1" thickBot="1" x14ac:dyDescent="0.75">
      <c r="A77" s="12"/>
      <c r="B77" s="83" t="s">
        <v>78</v>
      </c>
      <c r="C77" s="104"/>
      <c r="D77" s="104"/>
      <c r="E77" s="104"/>
      <c r="F77" s="105" t="s">
        <v>76</v>
      </c>
      <c r="G77" s="105"/>
      <c r="H77" s="104"/>
      <c r="I77" s="104"/>
      <c r="J77" s="104"/>
      <c r="K77" s="106"/>
      <c r="L77" s="85"/>
      <c r="M77" s="21"/>
      <c r="N77" s="128"/>
      <c r="O77" s="128"/>
      <c r="P77" s="128"/>
      <c r="Q77" s="128"/>
      <c r="R77" s="128"/>
      <c r="S77" s="128"/>
      <c r="T77" s="128"/>
      <c r="U77" s="128"/>
      <c r="V77" s="128"/>
      <c r="W77" s="21"/>
      <c r="X77" s="21"/>
      <c r="Y77" s="21"/>
      <c r="Z77" s="21"/>
      <c r="AA77" s="21"/>
      <c r="AB77" s="21"/>
      <c r="AC77" s="21"/>
    </row>
    <row r="78" spans="1:31" ht="15" customHeight="1" x14ac:dyDescent="0.6">
      <c r="A78" s="12"/>
      <c r="B78" s="83" t="s">
        <v>79</v>
      </c>
      <c r="C78" s="98">
        <f t="shared" ref="C78:K78" si="8">C73</f>
        <v>347516.08249999996</v>
      </c>
      <c r="D78" s="98"/>
      <c r="E78" s="98">
        <f t="shared" si="8"/>
        <v>339601.31179999997</v>
      </c>
      <c r="F78" s="98">
        <f t="shared" si="8"/>
        <v>347731.51077199995</v>
      </c>
      <c r="G78" s="98"/>
      <c r="H78" s="98">
        <f t="shared" si="8"/>
        <v>356023.30209787993</v>
      </c>
      <c r="I78" s="98">
        <f t="shared" si="8"/>
        <v>364478.24100364512</v>
      </c>
      <c r="J78" s="98">
        <f t="shared" si="8"/>
        <v>373097.79767029639</v>
      </c>
      <c r="K78" s="99">
        <f t="shared" si="8"/>
        <v>381883.34941440891</v>
      </c>
      <c r="L78" s="6"/>
      <c r="M78" s="2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21"/>
      <c r="Y78" s="21"/>
      <c r="Z78" s="21"/>
      <c r="AA78" s="21"/>
      <c r="AB78" s="21"/>
      <c r="AC78" s="21"/>
    </row>
    <row r="79" spans="1:31" ht="15" customHeight="1" x14ac:dyDescent="0.6">
      <c r="A79" s="12"/>
      <c r="B79" s="83" t="s">
        <v>80</v>
      </c>
      <c r="C79" s="66">
        <f>+$J$17</f>
        <v>223448.22163321337</v>
      </c>
      <c r="D79" s="66"/>
      <c r="E79" s="66">
        <f>+$J$17</f>
        <v>223448.22163321337</v>
      </c>
      <c r="F79" s="66">
        <f>+$J$17</f>
        <v>223448.22163321337</v>
      </c>
      <c r="G79" s="66"/>
      <c r="H79" s="66">
        <f>+$J$17</f>
        <v>223448.22163321337</v>
      </c>
      <c r="I79" s="66">
        <f>+$J$17</f>
        <v>223448.22163321337</v>
      </c>
      <c r="J79" s="66">
        <f>+$J$17</f>
        <v>223448.22163321337</v>
      </c>
      <c r="K79" s="66">
        <f>+$J$17</f>
        <v>223448.22163321337</v>
      </c>
      <c r="L79" s="6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70"/>
      <c r="AE79" s="70"/>
    </row>
    <row r="80" spans="1:31" ht="15" customHeight="1" x14ac:dyDescent="0.6">
      <c r="A80" s="12"/>
      <c r="B80" s="83" t="s">
        <v>81</v>
      </c>
      <c r="C80" s="66"/>
      <c r="D80" s="66"/>
      <c r="E80" s="66"/>
      <c r="F80" s="66"/>
      <c r="G80" s="66"/>
      <c r="H80" s="66"/>
      <c r="I80" s="66"/>
      <c r="J80" s="66"/>
      <c r="K80" s="89"/>
      <c r="L80" s="85"/>
      <c r="M80" s="21"/>
      <c r="N80" s="128"/>
      <c r="O80" s="128"/>
      <c r="P80" s="128"/>
      <c r="Q80" s="128"/>
      <c r="R80" s="128"/>
      <c r="S80" s="128"/>
      <c r="T80" s="128"/>
      <c r="U80" s="128"/>
      <c r="V80" s="21"/>
      <c r="W80" s="21"/>
      <c r="X80" s="21"/>
      <c r="Y80" s="21"/>
      <c r="Z80" s="21"/>
      <c r="AA80" s="21"/>
      <c r="AB80" s="21"/>
      <c r="AC80" s="21"/>
    </row>
    <row r="81" spans="1:29" ht="15" customHeight="1" x14ac:dyDescent="0.6">
      <c r="A81" s="12"/>
      <c r="B81" s="83" t="s">
        <v>82</v>
      </c>
      <c r="C81" s="66">
        <f t="shared" ref="C81:K81" si="9">C78-C79-C80</f>
        <v>124067.86086678659</v>
      </c>
      <c r="D81" s="66"/>
      <c r="E81" s="66">
        <f t="shared" si="9"/>
        <v>116153.0901667866</v>
      </c>
      <c r="F81" s="66">
        <f t="shared" si="9"/>
        <v>124283.28913878658</v>
      </c>
      <c r="G81" s="66"/>
      <c r="H81" s="66">
        <f t="shared" si="9"/>
        <v>132575.08046466656</v>
      </c>
      <c r="I81" s="66">
        <f t="shared" si="9"/>
        <v>141030.01937043175</v>
      </c>
      <c r="J81" s="66">
        <f t="shared" si="9"/>
        <v>149649.57603708302</v>
      </c>
      <c r="K81" s="89">
        <f t="shared" si="9"/>
        <v>158435.12778119554</v>
      </c>
      <c r="L81" s="85"/>
      <c r="M81" s="21"/>
      <c r="N81" s="128"/>
      <c r="O81" s="128"/>
      <c r="P81" s="128"/>
      <c r="Q81" s="128"/>
      <c r="R81" s="128"/>
      <c r="S81" s="128"/>
      <c r="T81" s="128"/>
      <c r="U81" s="128"/>
      <c r="V81" s="21"/>
      <c r="W81" s="21"/>
      <c r="X81" s="21"/>
      <c r="Y81" s="21"/>
      <c r="Z81" s="21"/>
      <c r="AA81" s="21"/>
      <c r="AB81" s="21"/>
      <c r="AC81" s="21"/>
    </row>
    <row r="82" spans="1:29" ht="15" customHeight="1" thickBot="1" x14ac:dyDescent="0.75">
      <c r="A82" s="12"/>
      <c r="B82" s="100" t="s">
        <v>83</v>
      </c>
      <c r="C82" s="86">
        <f>C81/$C$13</f>
        <v>7.1845304881237262E-2</v>
      </c>
      <c r="D82" s="86"/>
      <c r="E82" s="86">
        <f t="shared" ref="E82:K82" si="10">E81/$C$13</f>
        <v>6.7262013849749752E-2</v>
      </c>
      <c r="F82" s="86">
        <f t="shared" si="10"/>
        <v>7.1970055237806196E-2</v>
      </c>
      <c r="G82" s="86"/>
      <c r="H82" s="86">
        <f t="shared" si="10"/>
        <v>7.6771671640776876E-2</v>
      </c>
      <c r="I82" s="86">
        <f t="shared" si="10"/>
        <v>8.1667763660040096E-2</v>
      </c>
      <c r="J82" s="86">
        <f t="shared" si="10"/>
        <v>8.6659182649052785E-2</v>
      </c>
      <c r="K82" s="107">
        <f t="shared" si="10"/>
        <v>9.1746726185274283E-2</v>
      </c>
      <c r="L82" s="85"/>
      <c r="M82" s="21"/>
      <c r="N82" s="128"/>
      <c r="O82" s="128"/>
      <c r="P82" s="128"/>
      <c r="Q82" s="128"/>
      <c r="R82" s="128"/>
      <c r="S82" s="128"/>
      <c r="T82" s="128"/>
      <c r="U82" s="128"/>
      <c r="V82" s="21"/>
      <c r="W82" s="21"/>
      <c r="X82" s="21"/>
      <c r="Y82" s="21"/>
      <c r="Z82" s="21"/>
      <c r="AA82" s="21"/>
      <c r="AB82" s="21"/>
      <c r="AC82" s="21"/>
    </row>
    <row r="83" spans="1:29" ht="15" customHeight="1" thickBot="1" x14ac:dyDescent="0.75">
      <c r="A83" s="12"/>
      <c r="B83" s="103"/>
      <c r="C83" s="66">
        <f t="shared" ref="C83:K83" si="11">ROUND((C76*$K$42),0)</f>
        <v>8533</v>
      </c>
      <c r="D83" s="66"/>
      <c r="E83" s="66">
        <f t="shared" si="11"/>
        <v>6976</v>
      </c>
      <c r="F83" s="66">
        <f t="shared" si="11"/>
        <v>10270</v>
      </c>
      <c r="G83" s="66"/>
      <c r="H83" s="66">
        <f t="shared" si="11"/>
        <v>13651</v>
      </c>
      <c r="I83" s="66">
        <f t="shared" si="11"/>
        <v>17123</v>
      </c>
      <c r="J83" s="66">
        <f t="shared" si="11"/>
        <v>20686</v>
      </c>
      <c r="K83" s="89">
        <f t="shared" si="11"/>
        <v>24345</v>
      </c>
      <c r="L83" s="85"/>
      <c r="M83" s="21"/>
      <c r="N83" s="128"/>
      <c r="O83" s="128"/>
      <c r="P83" s="128"/>
      <c r="Q83" s="128"/>
      <c r="R83" s="128"/>
      <c r="S83" s="128"/>
      <c r="T83" s="128"/>
      <c r="U83" s="128"/>
      <c r="V83" s="21"/>
      <c r="W83" s="21"/>
      <c r="X83" s="21"/>
      <c r="Y83" s="21"/>
      <c r="Z83" s="21"/>
      <c r="AA83" s="21"/>
      <c r="AB83" s="21"/>
      <c r="AC83" s="21"/>
    </row>
    <row r="84" spans="1:29" ht="15" customHeight="1" x14ac:dyDescent="0.6">
      <c r="A84" s="12"/>
      <c r="B84" s="97" t="s">
        <v>85</v>
      </c>
      <c r="C84" s="66">
        <f t="shared" ref="C84:K84" si="12">C81-C83</f>
        <v>115534.86086678659</v>
      </c>
      <c r="D84" s="66"/>
      <c r="E84" s="66">
        <f t="shared" si="12"/>
        <v>109177.0901667866</v>
      </c>
      <c r="F84" s="66">
        <f t="shared" si="12"/>
        <v>114013.28913878658</v>
      </c>
      <c r="G84" s="66"/>
      <c r="H84" s="66">
        <f t="shared" si="12"/>
        <v>118924.08046466656</v>
      </c>
      <c r="I84" s="66">
        <f t="shared" si="12"/>
        <v>123907.01937043175</v>
      </c>
      <c r="J84" s="66">
        <f t="shared" si="12"/>
        <v>128963.57603708302</v>
      </c>
      <c r="K84" s="89">
        <f t="shared" si="12"/>
        <v>134090.12778119554</v>
      </c>
      <c r="L84" s="85"/>
      <c r="M84" s="21"/>
      <c r="N84" s="128"/>
      <c r="O84" s="128"/>
      <c r="P84" s="128"/>
      <c r="Q84" s="128"/>
      <c r="R84" s="128"/>
      <c r="S84" s="128"/>
      <c r="T84" s="128"/>
      <c r="U84" s="128"/>
      <c r="V84" s="21"/>
      <c r="W84" s="21"/>
      <c r="X84" s="21"/>
      <c r="Y84" s="21"/>
      <c r="Z84" s="21"/>
      <c r="AA84" s="21"/>
      <c r="AB84" s="21"/>
      <c r="AC84" s="21"/>
    </row>
    <row r="85" spans="1:29" ht="15" customHeight="1" thickBot="1" x14ac:dyDescent="0.75">
      <c r="A85" s="12"/>
      <c r="B85" s="83" t="s">
        <v>87</v>
      </c>
      <c r="C85" s="108">
        <f>C84/$C$13</f>
        <v>6.6904009188150038E-2</v>
      </c>
      <c r="D85" s="108"/>
      <c r="E85" s="108">
        <f>E84/$C$13</f>
        <v>6.3222346821157641E-2</v>
      </c>
      <c r="F85" s="108">
        <f>F84/$C$13</f>
        <v>6.6022896352536567E-2</v>
      </c>
      <c r="G85" s="108"/>
      <c r="H85" s="108">
        <f>H84/$C$13</f>
        <v>6.8866640877114194E-2</v>
      </c>
      <c r="I85" s="108">
        <f>I84/$C$13</f>
        <v>7.1752164673431346E-2</v>
      </c>
      <c r="J85" s="108">
        <f>J84/$C$13</f>
        <v>7.4680319094944936E-2</v>
      </c>
      <c r="K85" s="108">
        <f>K84/$C$13</f>
        <v>7.7649006315567454E-2</v>
      </c>
      <c r="L85" s="85"/>
      <c r="M85" s="267"/>
      <c r="N85" s="128"/>
      <c r="O85" s="128"/>
      <c r="P85" s="128"/>
      <c r="Q85" s="128"/>
      <c r="R85" s="128"/>
      <c r="S85" s="128"/>
      <c r="T85" s="128"/>
      <c r="U85" s="128"/>
      <c r="V85" s="21"/>
      <c r="W85" s="21"/>
      <c r="X85" s="21"/>
      <c r="Y85" s="21"/>
      <c r="Z85" s="21"/>
      <c r="AA85" s="21"/>
      <c r="AB85" s="21"/>
      <c r="AC85" s="21"/>
    </row>
    <row r="86" spans="1:29" ht="15" customHeight="1" thickBot="1" x14ac:dyDescent="0.75">
      <c r="A86" s="12"/>
      <c r="B86" s="83" t="s">
        <v>89</v>
      </c>
      <c r="C86" s="109"/>
      <c r="D86" s="109"/>
      <c r="E86" s="109"/>
      <c r="F86" s="110" t="s">
        <v>84</v>
      </c>
      <c r="G86" s="110"/>
      <c r="H86" s="109"/>
      <c r="I86" s="109"/>
      <c r="J86" s="109"/>
      <c r="K86" s="111"/>
      <c r="L86" s="85"/>
      <c r="M86" s="21"/>
      <c r="N86" s="128"/>
      <c r="O86" s="128"/>
      <c r="P86" s="128"/>
      <c r="Q86" s="128"/>
      <c r="R86" s="128"/>
      <c r="S86" s="128"/>
      <c r="T86" s="128"/>
      <c r="U86" s="128"/>
      <c r="V86" s="21"/>
      <c r="W86" s="21"/>
      <c r="X86" s="21"/>
      <c r="Y86" s="21"/>
      <c r="Z86" s="21"/>
      <c r="AA86" s="21"/>
      <c r="AB86" s="21"/>
      <c r="AC86" s="21"/>
    </row>
    <row r="87" spans="1:29" ht="15" customHeight="1" thickTop="1" thickBot="1" x14ac:dyDescent="0.75">
      <c r="A87" s="12"/>
      <c r="B87" s="83" t="s">
        <v>91</v>
      </c>
      <c r="C87" s="234"/>
      <c r="D87" s="215"/>
      <c r="E87" s="112">
        <f>C13+C9</f>
        <v>5401875</v>
      </c>
      <c r="F87" s="91"/>
      <c r="G87" s="91"/>
      <c r="H87" s="91"/>
      <c r="I87" s="10"/>
      <c r="J87" s="233" t="s">
        <v>86</v>
      </c>
      <c r="K87" s="113"/>
      <c r="L87" s="85"/>
      <c r="M87" s="21"/>
      <c r="N87" s="128"/>
      <c r="O87" s="128"/>
      <c r="P87" s="128"/>
      <c r="Q87" s="128"/>
      <c r="R87" s="128"/>
      <c r="S87" s="128"/>
      <c r="T87" s="128"/>
      <c r="U87" s="128"/>
      <c r="V87" s="21"/>
      <c r="W87" s="21"/>
      <c r="X87" s="21"/>
      <c r="Y87" s="21"/>
      <c r="Z87" s="21"/>
      <c r="AA87" s="21"/>
      <c r="AB87" s="21"/>
      <c r="AC87" s="21"/>
    </row>
    <row r="88" spans="1:29" ht="15" customHeight="1" thickTop="1" x14ac:dyDescent="0.6">
      <c r="A88" s="12"/>
      <c r="B88" s="83" t="s">
        <v>75</v>
      </c>
      <c r="C88" s="235"/>
      <c r="D88" s="216"/>
      <c r="E88" s="304">
        <v>20000</v>
      </c>
      <c r="F88" s="109"/>
      <c r="G88" s="109"/>
      <c r="H88" s="109"/>
      <c r="I88" s="115" t="s">
        <v>88</v>
      </c>
      <c r="J88" s="218"/>
      <c r="K88" s="309">
        <f>SUM(E87*(POWER(SUM(1+K50),K41)))</f>
        <v>6643624.8867919696</v>
      </c>
      <c r="L88" s="85"/>
      <c r="M88" s="21"/>
      <c r="N88" s="128"/>
      <c r="O88" s="128"/>
      <c r="P88" s="128"/>
      <c r="Q88" s="128"/>
      <c r="R88" s="128"/>
      <c r="S88" s="128"/>
      <c r="T88" s="128"/>
      <c r="U88" s="128"/>
      <c r="V88" s="21"/>
      <c r="W88" s="21"/>
      <c r="X88" s="21"/>
      <c r="Y88" s="21"/>
      <c r="Z88" s="21"/>
      <c r="AA88" s="21"/>
      <c r="AB88" s="21"/>
      <c r="AC88" s="21"/>
    </row>
    <row r="89" spans="1:29" ht="15" customHeight="1" x14ac:dyDescent="0.6">
      <c r="A89" s="12"/>
      <c r="B89" s="83" t="s">
        <v>94</v>
      </c>
      <c r="C89" s="235"/>
      <c r="D89" s="216"/>
      <c r="E89" s="116">
        <f>K89</f>
        <v>531489.99094335758</v>
      </c>
      <c r="F89" s="109"/>
      <c r="G89" s="109"/>
      <c r="H89" s="109"/>
      <c r="I89" s="117" t="s">
        <v>90</v>
      </c>
      <c r="J89" s="216"/>
      <c r="K89" s="310">
        <f>K88*0.08</f>
        <v>531489.99094335758</v>
      </c>
      <c r="L89" s="85"/>
      <c r="M89" s="21"/>
      <c r="N89" s="128"/>
      <c r="O89" s="128"/>
      <c r="P89" s="128"/>
      <c r="Q89" s="128"/>
      <c r="R89" s="128"/>
      <c r="S89" s="128"/>
      <c r="T89" s="128"/>
      <c r="U89" s="128"/>
      <c r="V89" s="21"/>
      <c r="W89" s="21"/>
      <c r="X89" s="21"/>
      <c r="Y89" s="21"/>
      <c r="Z89" s="21"/>
      <c r="AA89" s="21"/>
      <c r="AB89" s="21"/>
      <c r="AC89" s="21"/>
    </row>
    <row r="90" spans="1:29" ht="15" customHeight="1" x14ac:dyDescent="0.6">
      <c r="A90" s="12"/>
      <c r="B90" s="83" t="s">
        <v>96</v>
      </c>
      <c r="C90" s="235"/>
      <c r="D90" s="216"/>
      <c r="E90" s="116">
        <f>IF(E87+E88+E89&gt;0,E87+E88+E89," ")</f>
        <v>5953364.9909433573</v>
      </c>
      <c r="F90" s="109"/>
      <c r="G90" s="109"/>
      <c r="H90" s="109"/>
      <c r="I90" s="117" t="s">
        <v>92</v>
      </c>
      <c r="J90" s="216"/>
      <c r="K90" s="118">
        <f>+K62</f>
        <v>3198215.9378077914</v>
      </c>
      <c r="L90" s="6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ht="15" customHeight="1" x14ac:dyDescent="0.6">
      <c r="A91" s="12"/>
      <c r="B91" s="83" t="s">
        <v>88</v>
      </c>
      <c r="C91" s="235"/>
      <c r="D91" s="216"/>
      <c r="E91" s="116">
        <f>SUM(C75:K75)</f>
        <v>1084363.6363636365</v>
      </c>
      <c r="F91" s="109"/>
      <c r="G91" s="109"/>
      <c r="H91" s="109"/>
      <c r="I91" s="117" t="s">
        <v>93</v>
      </c>
      <c r="J91" s="216"/>
      <c r="K91" s="118">
        <f>IF(K88=" "," ",K88-(K89+K90))</f>
        <v>2913918.9580408204</v>
      </c>
      <c r="L91" s="6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ht="15" customHeight="1" thickBot="1" x14ac:dyDescent="0.75">
      <c r="A92" s="12"/>
      <c r="B92" s="83" t="s">
        <v>101</v>
      </c>
      <c r="C92" s="235"/>
      <c r="D92" s="216"/>
      <c r="E92" s="114">
        <v>0</v>
      </c>
      <c r="F92" s="109"/>
      <c r="G92" s="109"/>
      <c r="H92" s="109"/>
      <c r="I92" s="117" t="s">
        <v>95</v>
      </c>
      <c r="J92" s="216"/>
      <c r="K92" s="118">
        <f>E98</f>
        <v>436753.28409457608</v>
      </c>
      <c r="L92" s="6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ht="15" customHeight="1" thickBot="1" x14ac:dyDescent="0.75">
      <c r="A93" s="12"/>
      <c r="B93" s="83" t="s">
        <v>104</v>
      </c>
      <c r="C93" s="235"/>
      <c r="D93" s="216"/>
      <c r="E93" s="116">
        <f>E90-(E91+E92)</f>
        <v>4869001.3545797206</v>
      </c>
      <c r="F93" s="109"/>
      <c r="G93" s="109"/>
      <c r="H93" s="109"/>
      <c r="I93" s="117" t="s">
        <v>97</v>
      </c>
      <c r="J93" s="216"/>
      <c r="K93" s="118">
        <f>IF(K88=" "," ",K91-K92)</f>
        <v>2477165.6739462442</v>
      </c>
      <c r="L93" s="6"/>
      <c r="M93" s="21"/>
      <c r="N93" s="132"/>
      <c r="O93" s="133"/>
      <c r="P93" s="133" t="s">
        <v>98</v>
      </c>
      <c r="Q93" s="133"/>
      <c r="R93" s="133"/>
      <c r="S93" s="133"/>
      <c r="T93" s="133"/>
      <c r="U93" s="133"/>
      <c r="V93" s="133"/>
      <c r="W93" s="133"/>
      <c r="X93" s="134"/>
      <c r="Y93" s="21"/>
      <c r="Z93" s="21"/>
      <c r="AA93" s="21"/>
      <c r="AB93" s="21"/>
      <c r="AC93" s="21"/>
    </row>
    <row r="94" spans="1:29" ht="15" customHeight="1" thickTop="1" thickBot="1" x14ac:dyDescent="0.75">
      <c r="A94" s="12"/>
      <c r="B94" s="83" t="s">
        <v>106</v>
      </c>
      <c r="C94" s="235"/>
      <c r="D94" s="216"/>
      <c r="E94" s="116">
        <f>K88</f>
        <v>6643624.8867919696</v>
      </c>
      <c r="F94" s="109"/>
      <c r="G94" s="109"/>
      <c r="H94" s="109"/>
      <c r="I94" s="115"/>
      <c r="J94" s="219" t="s">
        <v>99</v>
      </c>
      <c r="K94" s="82"/>
      <c r="L94" s="6"/>
      <c r="M94" s="21"/>
      <c r="N94" s="135" t="s">
        <v>100</v>
      </c>
      <c r="O94" s="136"/>
      <c r="P94" s="136">
        <v>0</v>
      </c>
      <c r="Q94" s="136">
        <f>P94+1</f>
        <v>1</v>
      </c>
      <c r="R94" s="136"/>
      <c r="S94" s="136">
        <f>Q94+1</f>
        <v>2</v>
      </c>
      <c r="T94" s="136">
        <f>S94+1</f>
        <v>3</v>
      </c>
      <c r="U94" s="136">
        <f>T94+1</f>
        <v>4</v>
      </c>
      <c r="V94" s="136">
        <f>U94+1</f>
        <v>5</v>
      </c>
      <c r="W94" s="136">
        <f>V94+1</f>
        <v>6</v>
      </c>
      <c r="X94" s="137">
        <f>W94+1</f>
        <v>7</v>
      </c>
      <c r="Y94" s="21"/>
      <c r="Z94" s="21"/>
      <c r="AA94" s="21"/>
      <c r="AB94" s="21"/>
      <c r="AC94" s="21"/>
    </row>
    <row r="95" spans="1:29" ht="15" customHeight="1" thickTop="1" thickBot="1" x14ac:dyDescent="0.75">
      <c r="A95" s="12"/>
      <c r="B95" s="124" t="s">
        <v>109</v>
      </c>
      <c r="C95" s="235"/>
      <c r="D95" s="216"/>
      <c r="E95" s="116">
        <f>IF(E93&gt;0,E93," ")</f>
        <v>4869001.3545797206</v>
      </c>
      <c r="F95" s="109"/>
      <c r="G95" s="109"/>
      <c r="H95" s="109"/>
      <c r="I95" s="115" t="s">
        <v>102</v>
      </c>
      <c r="J95" s="220"/>
      <c r="K95" s="119">
        <f>C8/C22</f>
        <v>9.5942982456140342</v>
      </c>
      <c r="L95" s="6"/>
      <c r="M95" s="21"/>
      <c r="N95" s="138" t="s">
        <v>103</v>
      </c>
      <c r="O95" s="120"/>
      <c r="P95" s="120">
        <f>C13*-1</f>
        <v>-1726875</v>
      </c>
      <c r="Q95" s="120"/>
      <c r="R95" s="120"/>
      <c r="S95" s="120"/>
      <c r="T95" s="120"/>
      <c r="U95" s="120"/>
      <c r="V95" s="120"/>
      <c r="W95" s="120"/>
      <c r="X95" s="121"/>
      <c r="Y95" s="21"/>
      <c r="Z95" s="21"/>
      <c r="AA95" s="21"/>
      <c r="AB95" s="21"/>
      <c r="AC95" s="21"/>
    </row>
    <row r="96" spans="1:29" ht="15" customHeight="1" thickTop="1" x14ac:dyDescent="0.6">
      <c r="A96" s="12"/>
      <c r="B96" s="168"/>
      <c r="C96" s="235"/>
      <c r="D96" s="216"/>
      <c r="E96" s="116">
        <f>IF(E94&gt;0,E94-E95," ")</f>
        <v>1774623.532212249</v>
      </c>
      <c r="F96" s="109"/>
      <c r="G96" s="109"/>
      <c r="H96" s="109"/>
      <c r="I96" s="117" t="s">
        <v>0</v>
      </c>
      <c r="J96" s="221"/>
      <c r="K96" s="61">
        <f>K5</f>
        <v>6.6193539523809519E-2</v>
      </c>
      <c r="L96" s="6"/>
      <c r="M96" s="21"/>
      <c r="N96" s="138" t="s">
        <v>105</v>
      </c>
      <c r="O96" s="120"/>
      <c r="P96" s="120"/>
      <c r="Q96" s="120">
        <f>C81</f>
        <v>124067.86086678659</v>
      </c>
      <c r="R96" s="120"/>
      <c r="S96" s="120">
        <f>E81</f>
        <v>116153.0901667866</v>
      </c>
      <c r="T96" s="120">
        <f>F81</f>
        <v>124283.28913878658</v>
      </c>
      <c r="U96" s="120">
        <f>H81</f>
        <v>132575.08046466656</v>
      </c>
      <c r="V96" s="120">
        <f>I81</f>
        <v>141030.01937043175</v>
      </c>
      <c r="W96" s="120">
        <f>J81</f>
        <v>149649.57603708302</v>
      </c>
      <c r="X96" s="121">
        <f>K81</f>
        <v>158435.12778119554</v>
      </c>
      <c r="Y96" s="21"/>
      <c r="Z96" s="21"/>
      <c r="AA96" s="21"/>
      <c r="AB96" s="21"/>
      <c r="AC96" s="21"/>
    </row>
    <row r="97" spans="1:29" ht="15" customHeight="1" thickBot="1" x14ac:dyDescent="0.75">
      <c r="A97" s="12"/>
      <c r="E97" s="122">
        <f>SUM(K43:K44)</f>
        <v>0.24</v>
      </c>
      <c r="F97" s="109"/>
      <c r="G97" s="109"/>
      <c r="H97" s="109"/>
      <c r="I97" s="123" t="s">
        <v>107</v>
      </c>
      <c r="J97" s="222"/>
      <c r="K97" s="61">
        <f>C85</f>
        <v>6.6904009188150038E-2</v>
      </c>
      <c r="L97" s="6"/>
      <c r="M97" s="21"/>
      <c r="N97" s="138" t="s">
        <v>108</v>
      </c>
      <c r="O97" s="120"/>
      <c r="P97" s="120"/>
      <c r="Q97" s="120"/>
      <c r="R97" s="120"/>
      <c r="S97" s="120"/>
      <c r="T97" s="120"/>
      <c r="U97" s="120"/>
      <c r="V97" s="120"/>
      <c r="W97" s="120"/>
      <c r="X97" s="121">
        <f>K91</f>
        <v>2913918.9580408204</v>
      </c>
      <c r="Y97" s="21"/>
      <c r="Z97" s="21"/>
      <c r="AA97" s="21"/>
      <c r="AB97" s="21"/>
      <c r="AC97" s="21"/>
    </row>
    <row r="98" spans="1:29" ht="15" customHeight="1" thickBot="1" x14ac:dyDescent="0.75">
      <c r="A98" s="12"/>
      <c r="E98" s="125">
        <f>SUM(E96*E97)+(E91*SUM(K45-E97))</f>
        <v>436753.28409457608</v>
      </c>
      <c r="F98" s="126"/>
      <c r="G98" s="126"/>
      <c r="H98" s="126"/>
      <c r="I98" s="127" t="s">
        <v>110</v>
      </c>
      <c r="J98" s="223"/>
      <c r="K98" s="157">
        <f>+N106</f>
        <v>0.11298226178564996</v>
      </c>
      <c r="L98" s="6"/>
      <c r="M98" s="21"/>
      <c r="N98" s="139" t="s">
        <v>35</v>
      </c>
      <c r="O98" s="140"/>
      <c r="P98" s="140">
        <f>SUM(P95:P97)</f>
        <v>-1726875</v>
      </c>
      <c r="Q98" s="140">
        <f t="shared" ref="Q98:X98" si="13">SUM(Q95:Q97)</f>
        <v>124067.86086678659</v>
      </c>
      <c r="R98" s="140"/>
      <c r="S98" s="140">
        <f t="shared" si="13"/>
        <v>116153.0901667866</v>
      </c>
      <c r="T98" s="140">
        <f t="shared" si="13"/>
        <v>124283.28913878658</v>
      </c>
      <c r="U98" s="140">
        <f t="shared" si="13"/>
        <v>132575.08046466656</v>
      </c>
      <c r="V98" s="140">
        <f t="shared" si="13"/>
        <v>141030.01937043175</v>
      </c>
      <c r="W98" s="140">
        <f t="shared" si="13"/>
        <v>149649.57603708302</v>
      </c>
      <c r="X98" s="141">
        <f t="shared" si="13"/>
        <v>3072354.085822016</v>
      </c>
      <c r="Y98" s="21"/>
      <c r="Z98" s="21"/>
      <c r="AA98" s="21"/>
      <c r="AB98" s="21"/>
      <c r="AC98" s="21"/>
    </row>
    <row r="99" spans="1:29" ht="15" customHeight="1" thickTop="1" thickBot="1" x14ac:dyDescent="0.75">
      <c r="A99" s="12"/>
      <c r="E99" s="77"/>
      <c r="F99" s="77"/>
      <c r="G99" s="77"/>
      <c r="H99" s="77"/>
      <c r="I99" s="77"/>
      <c r="J99" s="77"/>
      <c r="K99" s="184"/>
      <c r="L99" s="2"/>
      <c r="M99" s="21"/>
      <c r="N99" s="156">
        <f>IRR(P98:X98)</f>
        <v>0.14033127098245157</v>
      </c>
      <c r="O99" s="156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ht="15" customHeight="1" x14ac:dyDescent="0.6">
      <c r="A100" s="12"/>
      <c r="B100" s="374" t="s">
        <v>112</v>
      </c>
      <c r="C100" s="234"/>
      <c r="D100" s="215"/>
      <c r="E100" s="375"/>
      <c r="F100" s="375"/>
      <c r="G100" s="375"/>
      <c r="H100" s="375"/>
      <c r="I100" s="375"/>
      <c r="J100" s="375"/>
      <c r="K100" s="376"/>
      <c r="L100" s="6"/>
      <c r="M100" s="21"/>
      <c r="N100" s="132"/>
      <c r="O100" s="133"/>
      <c r="P100" s="133" t="s">
        <v>111</v>
      </c>
      <c r="Q100" s="133"/>
      <c r="R100" s="133"/>
      <c r="S100" s="133"/>
      <c r="T100" s="133"/>
      <c r="U100" s="133"/>
      <c r="V100" s="133"/>
      <c r="W100" s="133"/>
      <c r="X100" s="134"/>
      <c r="Y100" s="21"/>
      <c r="Z100" s="21"/>
      <c r="AA100" s="21"/>
      <c r="AB100" s="21"/>
      <c r="AC100" s="21"/>
    </row>
    <row r="101" spans="1:29" ht="15" customHeight="1" thickBot="1" x14ac:dyDescent="0.75">
      <c r="A101" s="12"/>
      <c r="B101" s="377" t="s">
        <v>113</v>
      </c>
      <c r="C101" s="236"/>
      <c r="D101" s="217"/>
      <c r="E101" s="71"/>
      <c r="F101" s="71"/>
      <c r="G101" s="71"/>
      <c r="H101" s="71"/>
      <c r="I101" s="71"/>
      <c r="J101" s="71"/>
      <c r="K101" s="378"/>
      <c r="L101" s="6"/>
      <c r="M101" s="21"/>
      <c r="N101" s="135" t="s">
        <v>100</v>
      </c>
      <c r="O101" s="136"/>
      <c r="P101" s="136">
        <v>0</v>
      </c>
      <c r="Q101" s="136">
        <f>P101+1</f>
        <v>1</v>
      </c>
      <c r="R101" s="136"/>
      <c r="S101" s="136">
        <f>Q101+1</f>
        <v>2</v>
      </c>
      <c r="T101" s="136">
        <f>S101+1</f>
        <v>3</v>
      </c>
      <c r="U101" s="136">
        <f>T101+1</f>
        <v>4</v>
      </c>
      <c r="V101" s="136">
        <f>U101+1</f>
        <v>5</v>
      </c>
      <c r="W101" s="136">
        <f>V101+1</f>
        <v>6</v>
      </c>
      <c r="X101" s="137">
        <f>W101+1</f>
        <v>7</v>
      </c>
      <c r="Y101" s="21"/>
      <c r="Z101" s="21"/>
      <c r="AA101" s="21"/>
      <c r="AB101" s="21"/>
      <c r="AC101" s="21"/>
    </row>
    <row r="102" spans="1:29" ht="15" customHeight="1" thickTop="1" thickBot="1" x14ac:dyDescent="0.75">
      <c r="A102" s="12"/>
      <c r="B102" s="379" t="s">
        <v>114</v>
      </c>
      <c r="C102" s="380"/>
      <c r="D102" s="380"/>
      <c r="E102" s="381"/>
      <c r="F102" s="381"/>
      <c r="G102" s="381"/>
      <c r="H102" s="381"/>
      <c r="I102" s="381"/>
      <c r="J102" s="381"/>
      <c r="K102" s="382"/>
      <c r="L102" s="6"/>
      <c r="M102" s="21"/>
      <c r="N102" s="138" t="s">
        <v>103</v>
      </c>
      <c r="O102" s="120"/>
      <c r="P102" s="120">
        <f>P95</f>
        <v>-1726875</v>
      </c>
      <c r="Q102" s="120"/>
      <c r="R102" s="120"/>
      <c r="S102" s="120"/>
      <c r="T102" s="120"/>
      <c r="U102" s="120"/>
      <c r="V102" s="120"/>
      <c r="W102" s="120"/>
      <c r="X102" s="121"/>
      <c r="Y102" s="21"/>
      <c r="Z102" s="21"/>
      <c r="AA102" s="21"/>
      <c r="AB102" s="21"/>
      <c r="AC102" s="21"/>
    </row>
    <row r="103" spans="1:29" ht="13.5" customHeight="1" x14ac:dyDescent="0.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M103" s="21"/>
      <c r="N103" s="138" t="s">
        <v>105</v>
      </c>
      <c r="O103" s="120"/>
      <c r="P103" s="120"/>
      <c r="Q103" s="120">
        <f>C84</f>
        <v>115534.86086678659</v>
      </c>
      <c r="R103" s="120"/>
      <c r="S103" s="120">
        <f>E84</f>
        <v>109177.0901667866</v>
      </c>
      <c r="T103" s="120">
        <f>F84</f>
        <v>114013.28913878658</v>
      </c>
      <c r="U103" s="120">
        <f>H84</f>
        <v>118924.08046466656</v>
      </c>
      <c r="V103" s="120">
        <f>I84</f>
        <v>123907.01937043175</v>
      </c>
      <c r="W103" s="120">
        <f>J84</f>
        <v>128963.57603708302</v>
      </c>
      <c r="X103" s="120">
        <f>K84</f>
        <v>134090.12778119554</v>
      </c>
      <c r="Y103" s="21"/>
      <c r="Z103" s="21"/>
      <c r="AA103" s="21"/>
      <c r="AB103" s="21"/>
      <c r="AC103" s="21"/>
    </row>
    <row r="104" spans="1:29" ht="13.75" thickBot="1" x14ac:dyDescent="0.75">
      <c r="L104" s="3"/>
      <c r="N104" s="138" t="s">
        <v>108</v>
      </c>
      <c r="O104" s="120"/>
      <c r="P104" s="120"/>
      <c r="Q104" s="120"/>
      <c r="R104" s="120"/>
      <c r="S104" s="120"/>
      <c r="T104" s="120"/>
      <c r="U104" s="120"/>
      <c r="V104" s="120"/>
      <c r="W104" s="120"/>
      <c r="X104" s="121">
        <f>+K93</f>
        <v>2477165.6739462442</v>
      </c>
      <c r="Y104" s="21"/>
      <c r="Z104" s="21"/>
    </row>
    <row r="105" spans="1:29" ht="13.75" thickBot="1" x14ac:dyDescent="0.75">
      <c r="L105" s="3"/>
      <c r="N105" s="139" t="s">
        <v>35</v>
      </c>
      <c r="O105" s="140"/>
      <c r="P105" s="140">
        <f t="shared" ref="P105:X105" si="14">SUM(P102:P104)</f>
        <v>-1726875</v>
      </c>
      <c r="Q105" s="140">
        <f t="shared" si="14"/>
        <v>115534.86086678659</v>
      </c>
      <c r="R105" s="140"/>
      <c r="S105" s="140">
        <f t="shared" si="14"/>
        <v>109177.0901667866</v>
      </c>
      <c r="T105" s="140">
        <f t="shared" si="14"/>
        <v>114013.28913878658</v>
      </c>
      <c r="U105" s="140">
        <f t="shared" si="14"/>
        <v>118924.08046466656</v>
      </c>
      <c r="V105" s="140">
        <f t="shared" si="14"/>
        <v>123907.01937043175</v>
      </c>
      <c r="W105" s="140">
        <f t="shared" si="14"/>
        <v>128963.57603708302</v>
      </c>
      <c r="X105" s="141">
        <f t="shared" si="14"/>
        <v>2611255.8017274397</v>
      </c>
      <c r="Y105" s="21"/>
      <c r="Z105" s="21"/>
    </row>
    <row r="106" spans="1:29" x14ac:dyDescent="0.6">
      <c r="L106" s="3"/>
      <c r="N106" s="156">
        <f>IRR(P105:X105)</f>
        <v>0.11298226178564996</v>
      </c>
      <c r="O106" s="156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9" x14ac:dyDescent="0.6">
      <c r="L107" s="3"/>
    </row>
    <row r="108" spans="1:29" x14ac:dyDescent="0.6">
      <c r="L108" s="3"/>
    </row>
    <row r="109" spans="1:29" x14ac:dyDescent="0.6">
      <c r="L109" s="3"/>
    </row>
    <row r="110" spans="1:29" x14ac:dyDescent="0.6">
      <c r="L110" s="3"/>
    </row>
    <row r="111" spans="1:29" x14ac:dyDescent="0.6">
      <c r="L111" s="3"/>
    </row>
    <row r="112" spans="1:29" x14ac:dyDescent="0.6">
      <c r="L112" s="3"/>
    </row>
    <row r="113" spans="12:12" x14ac:dyDescent="0.6">
      <c r="L113" s="3"/>
    </row>
    <row r="114" spans="12:12" x14ac:dyDescent="0.6">
      <c r="L114" s="3"/>
    </row>
    <row r="115" spans="12:12" x14ac:dyDescent="0.6">
      <c r="L115" s="3"/>
    </row>
    <row r="116" spans="12:12" x14ac:dyDescent="0.6">
      <c r="L116" s="3"/>
    </row>
    <row r="117" spans="12:12" x14ac:dyDescent="0.6">
      <c r="L117" s="3"/>
    </row>
    <row r="118" spans="12:12" x14ac:dyDescent="0.6">
      <c r="L118" s="3"/>
    </row>
    <row r="119" spans="12:12" x14ac:dyDescent="0.6">
      <c r="L119" s="3"/>
    </row>
    <row r="120" spans="12:12" x14ac:dyDescent="0.6">
      <c r="L120" s="3"/>
    </row>
    <row r="121" spans="12:12" x14ac:dyDescent="0.6">
      <c r="L121" s="3"/>
    </row>
    <row r="122" spans="12:12" x14ac:dyDescent="0.6">
      <c r="L122" s="3"/>
    </row>
    <row r="123" spans="12:12" x14ac:dyDescent="0.6">
      <c r="L123" s="3"/>
    </row>
    <row r="124" spans="12:12" x14ac:dyDescent="0.6">
      <c r="L124" s="3"/>
    </row>
    <row r="125" spans="12:12" x14ac:dyDescent="0.6">
      <c r="L125" s="3"/>
    </row>
    <row r="126" spans="12:12" x14ac:dyDescent="0.6">
      <c r="L126" s="3"/>
    </row>
    <row r="127" spans="12:12" x14ac:dyDescent="0.6">
      <c r="L127" s="3"/>
    </row>
    <row r="128" spans="12:12" x14ac:dyDescent="0.6">
      <c r="L128" s="3"/>
    </row>
    <row r="129" spans="12:12" x14ac:dyDescent="0.6">
      <c r="L129" s="3"/>
    </row>
    <row r="130" spans="12:12" x14ac:dyDescent="0.6">
      <c r="L130" s="3"/>
    </row>
    <row r="131" spans="12:12" x14ac:dyDescent="0.6">
      <c r="L131" s="3"/>
    </row>
    <row r="132" spans="12:12" x14ac:dyDescent="0.6">
      <c r="L132" s="3"/>
    </row>
  </sheetData>
  <mergeCells count="8">
    <mergeCell ref="O33:Q33"/>
    <mergeCell ref="O34:R34"/>
    <mergeCell ref="C6:E6"/>
    <mergeCell ref="H6:I6"/>
    <mergeCell ref="H51:K51"/>
    <mergeCell ref="H36:K36"/>
    <mergeCell ref="H48:J48"/>
    <mergeCell ref="H49:K49"/>
  </mergeCells>
  <phoneticPr fontId="11" type="noConversion"/>
  <conditionalFormatting sqref="K22:K33 S12:S20">
    <cfRule type="cellIs" dxfId="0" priority="1" stopIfTrue="1" operator="equal">
      <formula>0</formula>
    </cfRule>
  </conditionalFormatting>
  <dataValidations disablePrompts="1" count="1">
    <dataValidation type="list" allowBlank="1" showInputMessage="1" showErrorMessage="1" sqref="P8" xr:uid="{00000000-0002-0000-0000-000000000000}">
      <formula1>$P$2:$P$4</formula1>
    </dataValidation>
  </dataValidations>
  <printOptions horizontalCentered="1"/>
  <pageMargins left="0.25" right="0.25" top="0.5" bottom="0.5" header="0.25" footer="0.25"/>
  <pageSetup scale="75" orientation="portrait" horizontalDpi="4294967293" r:id="rId1"/>
  <headerFooter alignWithMargins="0"/>
  <rowBreaks count="1" manualBreakCount="1">
    <brk id="52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Apartment Evaluator</vt:lpstr>
      <vt:lpstr>'Apartment Evaluator'!Print_Area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</dc:creator>
  <cp:lastModifiedBy>Fred Passmore</cp:lastModifiedBy>
  <cp:lastPrinted>2010-11-12T02:37:12Z</cp:lastPrinted>
  <dcterms:created xsi:type="dcterms:W3CDTF">2006-10-13T21:00:07Z</dcterms:created>
  <dcterms:modified xsi:type="dcterms:W3CDTF">2020-10-07T16:55:28Z</dcterms:modified>
</cp:coreProperties>
</file>